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6.xml" ContentType="application/vnd.ms-excel.controlproperties+xml"/>
  <Override PartName="/xl/ctrlProps/ctrlProp15.xml" ContentType="application/vnd.ms-excel.controlproperties+xml"/>
  <Override PartName="/xl/ctrlProps/ctrlProp9.xml" ContentType="application/vnd.ms-excel.controlproperti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trlProps/ctrlProp14.xml" ContentType="application/vnd.ms-excel.controlproperties+xml"/>
  <Override PartName="/xl/ctrlProps/ctrlProp13.xml" ContentType="application/vnd.ms-excel.controlproperties+xml"/>
  <Override PartName="/xl/ctrlProps/ctrlProp8.xml" ContentType="application/vnd.ms-excel.control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ctrlProps/ctrlProp11.xml" ContentType="application/vnd.ms-excel.controlproperties+xml"/>
  <Override PartName="/xl/ctrlProps/ctrlProp12.xml" ContentType="application/vnd.ms-excel.controlpropertie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updateLinks="never" codeName="ЭтаКнига" defaultThemeVersion="124226"/>
  <bookViews>
    <workbookView xWindow="15" yWindow="315" windowWidth="10680" windowHeight="11985" tabRatio="789" firstSheet="3" activeTab="3"/>
  </bookViews>
  <sheets>
    <sheet name="FMR_new" sheetId="3" state="hidden" r:id="rId1"/>
    <sheet name="Модем ICM" sheetId="8" state="hidden" r:id="rId2"/>
    <sheet name="SMH2G_old" sheetId="9" state="hidden" r:id="rId3"/>
    <sheet name="SMH2010" sheetId="18" r:id="rId4"/>
    <sheet name="_" sheetId="19" state="hidden" r:id="rId5"/>
    <sheet name="Лист1" sheetId="20" state="hidden" r:id="rId6"/>
  </sheets>
  <definedNames>
    <definedName name="_00">#REF!</definedName>
    <definedName name="_10">#REF!</definedName>
    <definedName name="_11">#REF!</definedName>
    <definedName name="_13">#REF!</definedName>
    <definedName name="_20">#REF!</definedName>
    <definedName name="_21">#REF!</definedName>
    <definedName name="_22">#REF!</definedName>
    <definedName name="_30">#REF!</definedName>
    <definedName name="_33">#REF!</definedName>
    <definedName name="Z_11D08DB2_E31A_4B7D_96E3_15D146D9C90A_.wvu.PrintArea" localSheetId="3" hidden="1">'SMH2010'!$A$1:$I$40</definedName>
    <definedName name="Z_11D08DB2_E31A_4B7D_96E3_15D146D9C90A_.wvu.PrintArea" localSheetId="2" hidden="1">SMH2G_old!$A$1:$H$37</definedName>
    <definedName name="Z_11D08DB2_E31A_4B7D_96E3_15D146D9C90A_.wvu.PrintArea" localSheetId="1" hidden="1">'Модем ICM'!$A$1:$H$23</definedName>
    <definedName name="Z_20FA67BD_9BBC_4ED6_BBAA_373F6BCF607B_.wvu.PrintArea" localSheetId="3" hidden="1">'SMH2010'!$A$1:$I$40</definedName>
    <definedName name="Z_20FA67BD_9BBC_4ED6_BBAA_373F6BCF607B_.wvu.PrintArea" localSheetId="2" hidden="1">SMH2G_old!$A$1:$H$37</definedName>
    <definedName name="Z_20FA67BD_9BBC_4ED6_BBAA_373F6BCF607B_.wvu.PrintArea" localSheetId="1" hidden="1">'Модем ICM'!$A$1:$H$23</definedName>
    <definedName name="Z_7D664F49_CBB3_4B83_A19B_05FCB4570C5D_.wvu.PrintArea" localSheetId="3" hidden="1">'SMH2010'!$A$1:$I$40</definedName>
    <definedName name="Z_7D664F49_CBB3_4B83_A19B_05FCB4570C5D_.wvu.PrintArea" localSheetId="2" hidden="1">SMH2G_old!$A$1:$H$37</definedName>
    <definedName name="Z_7D664F49_CBB3_4B83_A19B_05FCB4570C5D_.wvu.PrintArea" localSheetId="1" hidden="1">'Модем ICM'!$A$1:$H$23</definedName>
    <definedName name="Z_830742FC_BE7F_4E27_BACB_C350DD8E1822_.wvu.PrintArea" localSheetId="3" hidden="1">'SMH2010'!$A$1:$I$40</definedName>
    <definedName name="Z_830742FC_BE7F_4E27_BACB_C350DD8E1822_.wvu.PrintArea" localSheetId="2" hidden="1">SMH2G_old!$A$1:$H$37</definedName>
    <definedName name="Z_830742FC_BE7F_4E27_BACB_C350DD8E1822_.wvu.PrintArea" localSheetId="1" hidden="1">'Модем ICM'!$A$1:$H$23</definedName>
    <definedName name="курс">#REF!</definedName>
    <definedName name="_xlnm.Print_Area" localSheetId="3">'SMH2010'!$A$1:$I$40</definedName>
    <definedName name="_xlnm.Print_Area" localSheetId="2">SMH2G_old!$A$1:$H$37</definedName>
    <definedName name="_xlnm.Print_Area" localSheetId="1">'Модем ICM'!$A$1:$H$23</definedName>
    <definedName name="скидка">_!$C$5</definedName>
  </definedNames>
  <calcPr calcId="125725"/>
  <customWorkbookViews>
    <customWorkbookView name="User1 - Личное представление" guid="{11D08DB2-E31A-4B7D-96E3-15D146D9C90A}" mergeInterval="0" personalView="1" maximized="1" windowWidth="1920" windowHeight="844" tabRatio="789" activeSheetId="1"/>
    <customWorkbookView name="Ruslan - Личное представление" guid="{7D664F49-CBB3-4B83-A19B-05FCB4570C5D}" mergeInterval="0" personalView="1" maximized="1" xWindow="-1928" yWindow="70" windowWidth="1936" windowHeight="1066" tabRatio="789" activeSheetId="1"/>
    <customWorkbookView name="Support - Личное представление" guid="{20FA67BD-9BBC-4ED6-BBAA-373F6BCF607B}" mergeInterval="0" personalView="1" maximized="1" windowWidth="1920" windowHeight="785" tabRatio="789" activeSheetId="1"/>
    <customWorkbookView name="Rusaln-PC - Личное представление" guid="{830742FC-BE7F-4E27-BACB-C350DD8E1822}" mergeInterval="0" personalView="1" maximized="1" windowWidth="1916" windowHeight="914" tabRatio="789" activeSheetId="16"/>
  </customWorkbookViews>
</workbook>
</file>

<file path=xl/calcChain.xml><?xml version="1.0" encoding="utf-8"?>
<calcChain xmlns="http://schemas.openxmlformats.org/spreadsheetml/2006/main">
  <c r="D70" i="19"/>
  <c r="D69"/>
  <c r="D68"/>
  <c r="D67"/>
  <c r="D66"/>
  <c r="D65"/>
  <c r="D64"/>
  <c r="D63"/>
  <c r="D61"/>
  <c r="D60"/>
  <c r="D59"/>
  <c r="D51"/>
  <c r="D40"/>
  <c r="D38"/>
  <c r="D16"/>
  <c r="D15"/>
  <c r="D14"/>
  <c r="D13"/>
  <c r="D12"/>
  <c r="D19"/>
  <c r="D47" l="1"/>
  <c r="D46"/>
  <c r="D45"/>
  <c r="D44"/>
  <c r="D43"/>
  <c r="D42"/>
  <c r="E293" l="1"/>
  <c r="Q173" l="1"/>
  <c r="Q174"/>
  <c r="Q175"/>
  <c r="Q176"/>
  <c r="C5" l="1"/>
  <c r="F74"/>
  <c r="F80"/>
  <c r="F103"/>
  <c r="F106"/>
  <c r="F109"/>
  <c r="F112"/>
  <c r="P178"/>
  <c r="O178" s="1"/>
  <c r="AC175" s="1"/>
  <c r="E194"/>
  <c r="I194" s="1"/>
  <c r="E195"/>
  <c r="K195" s="1"/>
  <c r="AF216"/>
  <c r="AD218"/>
  <c r="AE218"/>
  <c r="D237"/>
  <c r="H237" s="1"/>
  <c r="D238"/>
  <c r="I238" s="1"/>
  <c r="AD251"/>
  <c r="AF251" s="1"/>
  <c r="D270"/>
  <c r="I270" s="1"/>
  <c r="I272" s="1"/>
  <c r="B16" i="18"/>
  <c r="C16"/>
  <c r="D16"/>
  <c r="E16"/>
  <c r="G16"/>
  <c r="I16"/>
  <c r="D26"/>
  <c r="D30"/>
  <c r="H16" i="9"/>
  <c r="H16" i="8"/>
  <c r="L195" i="19" l="1"/>
  <c r="F117"/>
  <c r="G195"/>
  <c r="K270"/>
  <c r="K272" s="1"/>
  <c r="J195"/>
  <c r="H195"/>
  <c r="I195"/>
  <c r="I196" s="1"/>
  <c r="L194"/>
  <c r="B293"/>
  <c r="D293" s="1"/>
  <c r="F293" s="1"/>
  <c r="H270"/>
  <c r="H272" s="1"/>
  <c r="F270"/>
  <c r="E270"/>
  <c r="J270"/>
  <c r="J272" s="1"/>
  <c r="L238"/>
  <c r="G270"/>
  <c r="G272" s="1"/>
  <c r="L270"/>
  <c r="L272" s="1"/>
  <c r="F237"/>
  <c r="F195"/>
  <c r="AE175" s="1"/>
  <c r="G238"/>
  <c r="F238"/>
  <c r="H238"/>
  <c r="H239" s="1"/>
  <c r="E9" i="3" s="1"/>
  <c r="E238" i="19"/>
  <c r="J238"/>
  <c r="AF218"/>
  <c r="E14" i="3" s="1"/>
  <c r="G237" i="19"/>
  <c r="V178"/>
  <c r="E237"/>
  <c r="Q178"/>
  <c r="AF175" s="1"/>
  <c r="K194"/>
  <c r="K196" s="1"/>
  <c r="L237"/>
  <c r="J194"/>
  <c r="K237"/>
  <c r="H194"/>
  <c r="J237"/>
  <c r="G194"/>
  <c r="F194"/>
  <c r="AD175" s="1"/>
  <c r="K238"/>
  <c r="I237"/>
  <c r="I239" s="1"/>
  <c r="E10" i="3" s="1"/>
  <c r="L196" i="19" l="1"/>
  <c r="AG175"/>
  <c r="G196"/>
  <c r="H196"/>
  <c r="J239"/>
  <c r="E12" i="3" s="1"/>
  <c r="G239" i="19"/>
  <c r="E7" i="3" s="1"/>
  <c r="J196" i="19"/>
  <c r="L239"/>
  <c r="E8" i="3" s="1"/>
  <c r="H15" i="18"/>
  <c r="K239" i="19"/>
  <c r="E11" i="3" s="1"/>
</calcChain>
</file>

<file path=xl/comments1.xml><?xml version="1.0" encoding="utf-8"?>
<comments xmlns="http://schemas.openxmlformats.org/spreadsheetml/2006/main">
  <authors>
    <author>Ruslan</author>
    <author>User1</author>
    <author>Support</author>
  </authors>
  <commentList>
    <comment ref="E7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8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</text>
    </comment>
    <comment ref="E10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</text>
    </comment>
    <comment ref="E10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</text>
    </comment>
    <comment ref="E10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</text>
    </comment>
    <comment ref="E11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</text>
    </comment>
    <comment ref="O173" authorId="1">
      <text>
        <r>
          <rPr>
            <b/>
            <sz val="9"/>
            <color indexed="81"/>
            <rFont val="Tahoma"/>
            <family val="2"/>
            <charset val="204"/>
          </rPr>
          <t>без дисплея</t>
        </r>
      </text>
    </comment>
    <comment ref="AC174" authorId="1">
      <text>
        <r>
          <rPr>
            <b/>
            <sz val="9"/>
            <color indexed="81"/>
            <rFont val="Tahoma"/>
            <family val="2"/>
            <charset val="204"/>
          </rPr>
          <t>User1:</t>
        </r>
        <r>
          <rPr>
            <sz val="9"/>
            <color indexed="81"/>
            <rFont val="Tahoma"/>
            <family val="2"/>
            <charset val="204"/>
          </rPr>
          <t xml:space="preserve">
обвес цпу</t>
        </r>
      </text>
    </comment>
    <comment ref="O175" authorId="1">
      <text>
        <r>
          <rPr>
            <b/>
            <sz val="9"/>
            <color indexed="81"/>
            <rFont val="Tahoma"/>
            <family val="2"/>
            <charset val="204"/>
          </rPr>
          <t>с дисплеем</t>
        </r>
      </text>
    </comment>
    <comment ref="AC175" authorId="2">
      <text>
        <r>
          <rPr>
            <b/>
            <sz val="9"/>
            <color indexed="81"/>
            <rFont val="Tahoma"/>
            <family val="2"/>
            <charset val="204"/>
          </rPr>
          <t>Support:</t>
        </r>
        <r>
          <rPr>
            <sz val="9"/>
            <color indexed="81"/>
            <rFont val="Tahoma"/>
            <family val="2"/>
            <charset val="204"/>
          </rPr>
          <t xml:space="preserve">
учесть изменения при вводе HDMI версии</t>
        </r>
      </text>
    </comment>
    <comment ref="AG175" authorId="1">
      <text>
        <r>
          <rPr>
            <b/>
            <sz val="9"/>
            <color indexed="81"/>
            <rFont val="Tahoma"/>
            <family val="2"/>
            <charset val="204"/>
          </rPr>
          <t>User1:</t>
        </r>
        <r>
          <rPr>
            <sz val="9"/>
            <color indexed="81"/>
            <rFont val="Tahoma"/>
            <family val="2"/>
            <charset val="204"/>
          </rPr>
          <t xml:space="preserve">
07,10 повышение цен
</t>
        </r>
      </text>
    </comment>
    <comment ref="O178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Вариация ЦПУ
</t>
        </r>
      </text>
    </comment>
    <comment ref="AF216" authorId="2">
      <text>
        <r>
          <rPr>
            <b/>
            <sz val="9"/>
            <color indexed="81"/>
            <rFont val="Tahoma"/>
            <family val="2"/>
            <charset val="204"/>
          </rPr>
          <t>Support:</t>
        </r>
        <r>
          <rPr>
            <sz val="9"/>
            <color indexed="81"/>
            <rFont val="Tahoma"/>
            <family val="2"/>
            <charset val="204"/>
          </rPr>
          <t xml:space="preserve">
коэф</t>
        </r>
      </text>
    </comment>
    <comment ref="AF249" authorId="2">
      <text>
        <r>
          <rPr>
            <b/>
            <sz val="9"/>
            <color indexed="81"/>
            <rFont val="Tahoma"/>
            <family val="2"/>
            <charset val="204"/>
          </rPr>
          <t>Support:</t>
        </r>
        <r>
          <rPr>
            <sz val="9"/>
            <color indexed="81"/>
            <rFont val="Tahoma"/>
            <family val="2"/>
            <charset val="204"/>
          </rPr>
          <t xml:space="preserve">
коэф</t>
        </r>
      </text>
    </comment>
    <comment ref="AF251" authorId="1">
      <text>
        <r>
          <rPr>
            <b/>
            <sz val="9"/>
            <color indexed="81"/>
            <rFont val="Tahoma"/>
            <family val="2"/>
            <charset val="204"/>
          </rPr>
          <t>User1:</t>
        </r>
        <r>
          <rPr>
            <sz val="9"/>
            <color indexed="81"/>
            <rFont val="Tahoma"/>
            <family val="2"/>
            <charset val="204"/>
          </rPr>
          <t xml:space="preserve">
c 07,10 повышение цен</t>
        </r>
      </text>
    </comment>
  </commentList>
</comments>
</file>

<file path=xl/sharedStrings.xml><?xml version="1.0" encoding="utf-8"?>
<sst xmlns="http://schemas.openxmlformats.org/spreadsheetml/2006/main" count="240" uniqueCount="194">
  <si>
    <t>Контроллеры</t>
  </si>
  <si>
    <t>Модули</t>
  </si>
  <si>
    <t>Кабели</t>
  </si>
  <si>
    <t>Батарейки</t>
  </si>
  <si>
    <t>SMH2010</t>
  </si>
  <si>
    <t>DIN</t>
  </si>
  <si>
    <t>DOUT</t>
  </si>
  <si>
    <t>Часы реального времени</t>
  </si>
  <si>
    <t>С этим товаром покупают:</t>
  </si>
  <si>
    <t>Модификации:</t>
  </si>
  <si>
    <t>Так же можно приобрести:</t>
  </si>
  <si>
    <t>Примечание:</t>
  </si>
  <si>
    <t>ModBUS-TCP (Ethernet 10Base-T)</t>
  </si>
  <si>
    <t>AIN</t>
  </si>
  <si>
    <t>Для соединения модуля с контроллером при раздельном монтаже</t>
  </si>
  <si>
    <t>Предназначен для контроллеров:</t>
  </si>
  <si>
    <t>-</t>
  </si>
  <si>
    <t>Для соединения модуля MR с контроллером</t>
  </si>
  <si>
    <t>Модули памяти</t>
  </si>
  <si>
    <t>Сетевые модули</t>
  </si>
  <si>
    <t>SMH2G - 4222-01-2</t>
  </si>
  <si>
    <t>Pixel - 2511-02-0</t>
  </si>
  <si>
    <t>Pixel - 2512-02-0</t>
  </si>
  <si>
    <t>Pixel - 2514-02-0</t>
  </si>
  <si>
    <t>Pixel - 2515-02-0</t>
  </si>
  <si>
    <t>Pixel - 1211-02-0</t>
  </si>
  <si>
    <t>Pixel - 1214-02-0</t>
  </si>
  <si>
    <t>МС - 0201-01-0</t>
  </si>
  <si>
    <t>МС - 0202-01-0</t>
  </si>
  <si>
    <t>МС - 0401-01-0</t>
  </si>
  <si>
    <t>МС - 0402-01-0</t>
  </si>
  <si>
    <t>MR - 0061-00-0</t>
  </si>
  <si>
    <t>MR - 0120-00-0</t>
  </si>
  <si>
    <t>MR - 0504-00-0</t>
  </si>
  <si>
    <t>MR - 0602-00-0</t>
  </si>
  <si>
    <t>MR - 0800-00-0</t>
  </si>
  <si>
    <t>Eeprom PMM - 0128-01</t>
  </si>
  <si>
    <t>Eeprom PMM - 0256-01</t>
  </si>
  <si>
    <t>Fram PMM - 0128-02</t>
  </si>
  <si>
    <t>Ethernet  PNA - 023</t>
  </si>
  <si>
    <t>LonWorks PNA - 025</t>
  </si>
  <si>
    <t>LBВ - 1000</t>
  </si>
  <si>
    <t>LBA - 1000</t>
  </si>
  <si>
    <t>CB-MR - 0.5</t>
  </si>
  <si>
    <t>CB-MR - 1.5</t>
  </si>
  <si>
    <t>CB-MR - 2.0</t>
  </si>
  <si>
    <t>CB-МС - 1.0</t>
  </si>
  <si>
    <t>CB-МС - 2.0</t>
  </si>
  <si>
    <t>KC RS232-RJ45</t>
  </si>
  <si>
    <t>SMH2010 KC-RS232- RJ12</t>
  </si>
  <si>
    <t>SMH2010 KC-RS485- RJ12</t>
  </si>
  <si>
    <t>Х</t>
  </si>
  <si>
    <t>итого</t>
  </si>
  <si>
    <t>Trim5 - 3012-65-0</t>
  </si>
  <si>
    <t>интерфейсы</t>
  </si>
  <si>
    <t>Питание</t>
  </si>
  <si>
    <t>Характеристики:</t>
  </si>
  <si>
    <t>Не поддерживается</t>
  </si>
  <si>
    <t xml:space="preserve">Сетевой модуль PNA - 023 </t>
  </si>
  <si>
    <t>Модуль MC - 0X0X-01-0</t>
  </si>
  <si>
    <t>Модуль MR - 0X0X-01-0</t>
  </si>
  <si>
    <t>Можно подключить до 8 модулей, для увеличения кол-во входов выходов</t>
  </si>
  <si>
    <t>RS-485 (о/р), RS-232 (о/р)</t>
  </si>
  <si>
    <t>Eeprom</t>
  </si>
  <si>
    <t xml:space="preserve">батарея </t>
  </si>
  <si>
    <t>версия ПО</t>
  </si>
  <si>
    <t>тип памяти</t>
  </si>
  <si>
    <t>8(транзистор)</t>
  </si>
  <si>
    <t>6(4-20мА)</t>
  </si>
  <si>
    <t>4(ТС-1000)+ 2(4-20мА)</t>
  </si>
  <si>
    <t>4(ТС-1000)+ 2(0-10В)</t>
  </si>
  <si>
    <t>4(ТС-1000)</t>
  </si>
  <si>
    <t>отсутствует</t>
  </si>
  <si>
    <t>установлена LBВ - 1000</t>
  </si>
  <si>
    <t>RS485</t>
  </si>
  <si>
    <t>плата без корпуса</t>
  </si>
  <si>
    <t>3000 блоков FBD</t>
  </si>
  <si>
    <t>RS485+RS232 (о/р)</t>
  </si>
  <si>
    <t>AOUT и тип памяти</t>
  </si>
  <si>
    <t>din</t>
  </si>
  <si>
    <t>aout</t>
  </si>
  <si>
    <t>ain</t>
  </si>
  <si>
    <t>память</t>
  </si>
  <si>
    <t>порты</t>
  </si>
  <si>
    <t>ядро</t>
  </si>
  <si>
    <t>исполнение</t>
  </si>
  <si>
    <t>батарея</t>
  </si>
  <si>
    <t>0+ Fram</t>
  </si>
  <si>
    <t>2+ Fram</t>
  </si>
  <si>
    <t>4+ Fram</t>
  </si>
  <si>
    <t>Fram</t>
  </si>
  <si>
    <t>2+ Eeprom</t>
  </si>
  <si>
    <t>0+ Eeprom</t>
  </si>
  <si>
    <t>01</t>
  </si>
  <si>
    <t>04</t>
  </si>
  <si>
    <t>ЦЕНЫ</t>
  </si>
  <si>
    <t>Используются имена</t>
  </si>
  <si>
    <t>курс</t>
  </si>
  <si>
    <t>скидка</t>
  </si>
  <si>
    <t>лист и координаты</t>
  </si>
  <si>
    <t>прайс - B2</t>
  </si>
  <si>
    <t>расчеты С5</t>
  </si>
  <si>
    <t>Установлена батарея LBA - 1000</t>
  </si>
  <si>
    <t>Можно подключить только один модуль, для добавления ain/aout и увеличения din/dout.</t>
  </si>
  <si>
    <t>4+ Eeprom</t>
  </si>
  <si>
    <t>18…36VDC, 5 Вт</t>
  </si>
  <si>
    <t>1700 блоков FBD+поддерж. AT-модема</t>
  </si>
  <si>
    <t>Trim5 - 1060-20-0</t>
  </si>
  <si>
    <t>Trim5 - 4260-20-0</t>
  </si>
  <si>
    <t>6(0-10В)</t>
  </si>
  <si>
    <t>Кабель CB-МС - XX00</t>
  </si>
  <si>
    <t>Кабель CB-MR - XX00</t>
  </si>
  <si>
    <t>Аналоговые входы</t>
  </si>
  <si>
    <t>Дискретные входы</t>
  </si>
  <si>
    <t>Аналоговые выходы</t>
  </si>
  <si>
    <t>Дискретные выходы</t>
  </si>
  <si>
    <t xml:space="preserve">Дискретные входы </t>
  </si>
  <si>
    <t xml:space="preserve">Дискретные выходы </t>
  </si>
  <si>
    <t xml:space="preserve">Аналоговые выходы </t>
  </si>
  <si>
    <t>Модемы</t>
  </si>
  <si>
    <t>Интерфейс USB</t>
  </si>
  <si>
    <t>USB типа A, USB 2.0</t>
  </si>
  <si>
    <t>3G</t>
  </si>
  <si>
    <t>коэффициент скидки  для цен</t>
  </si>
  <si>
    <t>Крепление</t>
  </si>
  <si>
    <t>DIN-рейка, на плоскость</t>
  </si>
  <si>
    <t>только модель с установкой на дверцу шкафа</t>
  </si>
  <si>
    <t>Контроллер SMH2010</t>
  </si>
  <si>
    <t>SMH4 - 0011-00-0</t>
  </si>
  <si>
    <t>SMH2G(i)</t>
  </si>
  <si>
    <t>SMH4</t>
  </si>
  <si>
    <t>Trim5 - 1061-20-1</t>
  </si>
  <si>
    <t>Trim5 - 4261-20-1</t>
  </si>
  <si>
    <t>IP54 и LCD дисплей (-15...+55)</t>
  </si>
  <si>
    <t>IP65 и LCD дисплей (-15...+55)</t>
  </si>
  <si>
    <t>Контроллер Pixel</t>
  </si>
  <si>
    <t>Контроллер SMH2G</t>
  </si>
  <si>
    <t xml:space="preserve">антенна </t>
  </si>
  <si>
    <t xml:space="preserve">в комплект поставки не входит </t>
  </si>
  <si>
    <t>MR - 0810-01-0</t>
  </si>
  <si>
    <t>Розничная цена  (курс ЦБ, НДС включен)</t>
  </si>
  <si>
    <t>FMR - 1010-10-0</t>
  </si>
  <si>
    <t>FMR - 1020-10-0</t>
  </si>
  <si>
    <t>FMR - 1021-10-0</t>
  </si>
  <si>
    <t>FMR - 3022-10-0</t>
  </si>
  <si>
    <t>FMR - 3030-10-0</t>
  </si>
  <si>
    <t>FMR - 2222-10-0</t>
  </si>
  <si>
    <t>FMR - 1320-10-0</t>
  </si>
  <si>
    <t>Matrix - 1020-70-0</t>
  </si>
  <si>
    <t>Matrix - 1020-90-0</t>
  </si>
  <si>
    <t>Matrix - 1021-90-0</t>
  </si>
  <si>
    <t>Matrix - 1021-70-0</t>
  </si>
  <si>
    <t>Модуль NA-017 (RS485+ETH)</t>
  </si>
  <si>
    <t>Модуль NA-018 (ETH+ETH)</t>
  </si>
  <si>
    <t>FMR - 1321-10-0</t>
  </si>
  <si>
    <t>Модем ICM - 0100-01-2</t>
  </si>
  <si>
    <t>в комплект поставки не входит</t>
  </si>
  <si>
    <t>кабель USB A(m) - USB A(m)</t>
  </si>
  <si>
    <t>Скорость передачи</t>
  </si>
  <si>
    <t>HSUPA 5.76Mbps</t>
  </si>
  <si>
    <t>00</t>
  </si>
  <si>
    <t>Segnetics</t>
  </si>
  <si>
    <t>Подбор модификации:</t>
  </si>
  <si>
    <t>AOUT</t>
  </si>
  <si>
    <t>DOUT relay</t>
  </si>
  <si>
    <t>DOUT triac</t>
  </si>
  <si>
    <t>DOUT opto</t>
  </si>
  <si>
    <t>Стоимость:</t>
  </si>
  <si>
    <t>УСО1</t>
  </si>
  <si>
    <t>УСО2</t>
  </si>
  <si>
    <t>ЦПУ</t>
  </si>
  <si>
    <t>ИТОГ</t>
  </si>
  <si>
    <t>Дисплей,клавиатура</t>
  </si>
  <si>
    <t>PRICE LIST FMR</t>
  </si>
  <si>
    <t xml:space="preserve"> </t>
  </si>
  <si>
    <t xml:space="preserve">    FMR -</t>
  </si>
  <si>
    <t>Price,евро</t>
  </si>
  <si>
    <t>Мод. УСО</t>
  </si>
  <si>
    <t>AI</t>
  </si>
  <si>
    <t>DI</t>
  </si>
  <si>
    <t>DO Relay</t>
  </si>
  <si>
    <t>DO OptoRelay</t>
  </si>
  <si>
    <t>DO Triac</t>
  </si>
  <si>
    <t>AO</t>
  </si>
  <si>
    <t>Modem,SD Card</t>
  </si>
  <si>
    <t>Дисплей,клавиатура,Modem,SD Card</t>
  </si>
  <si>
    <t>Модуль NA-022 (RS32+ETH)</t>
  </si>
  <si>
    <t>30-0</t>
  </si>
  <si>
    <t>70-0</t>
  </si>
  <si>
    <t>90-0</t>
  </si>
  <si>
    <t>30-3</t>
  </si>
  <si>
    <t>Modem,SD Card, морозоустойочивый</t>
  </si>
  <si>
    <t>цпу</t>
  </si>
  <si>
    <t>Заготовки</t>
  </si>
</sst>
</file>

<file path=xl/styles.xml><?xml version="1.0" encoding="utf-8"?>
<styleSheet xmlns="http://schemas.openxmlformats.org/spreadsheetml/2006/main">
  <numFmts count="5">
    <numFmt numFmtId="164" formatCode="#,##0.00_р_."/>
    <numFmt numFmtId="165" formatCode="#,##0.00\ [$€-47E]"/>
    <numFmt numFmtId="166" formatCode="_-* #,##0.00\ [$€-1]_-;\-* #,##0.00\ [$€-1]_-;_-* &quot;-&quot;??\ [$€-1]_-;_-@_-"/>
    <numFmt numFmtId="167" formatCode="#,##0.0000"/>
    <numFmt numFmtId="168" formatCode="[$€-2]\ #,##0.00"/>
  </numFmts>
  <fonts count="32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sz val="10"/>
      <name val="Arial Cyr"/>
      <charset val="204"/>
    </font>
    <font>
      <b/>
      <u/>
      <sz val="10"/>
      <name val="Arial Cyr"/>
      <charset val="204"/>
    </font>
    <font>
      <b/>
      <sz val="10"/>
      <name val="Arial Cyr"/>
      <charset val="204"/>
    </font>
    <font>
      <b/>
      <sz val="20"/>
      <name val="Arial Cyr"/>
      <charset val="204"/>
    </font>
    <font>
      <b/>
      <sz val="20"/>
      <color indexed="8"/>
      <name val="Calibri"/>
      <family val="2"/>
      <charset val="204"/>
    </font>
    <font>
      <b/>
      <sz val="9"/>
      <name val="Arial Cyr"/>
      <charset val="204"/>
    </font>
    <font>
      <sz val="9"/>
      <color indexed="8"/>
      <name val="Calibri"/>
      <family val="2"/>
      <charset val="204"/>
    </font>
    <font>
      <sz val="11"/>
      <color indexed="8"/>
      <name val="Calibri"/>
      <family val="2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ahoma"/>
      <family val="2"/>
      <charset val="204"/>
    </font>
    <font>
      <b/>
      <sz val="24"/>
      <color rgb="FF656575"/>
      <name val="Tahoma"/>
      <family val="2"/>
      <charset val="204"/>
    </font>
    <font>
      <sz val="13.1"/>
      <color rgb="FF656575"/>
      <name val="Tahoma"/>
      <family val="2"/>
      <charset val="204"/>
    </font>
    <font>
      <b/>
      <sz val="11"/>
      <color rgb="FF656575"/>
      <name val="Tahoma"/>
      <family val="2"/>
      <charset val="204"/>
    </font>
    <font>
      <sz val="10"/>
      <color rgb="FF656575"/>
      <name val="Tahoma"/>
      <family val="2"/>
      <charset val="204"/>
    </font>
    <font>
      <b/>
      <sz val="20"/>
      <color rgb="FF656575"/>
      <name val="Tahoma"/>
      <family val="2"/>
      <charset val="204"/>
    </font>
    <font>
      <sz val="11"/>
      <color theme="0" tint="-0.249977111117893"/>
      <name val="Tahoma"/>
      <family val="2"/>
      <charset val="204"/>
    </font>
    <font>
      <sz val="11"/>
      <color theme="0"/>
      <name val="Tahoma"/>
      <family val="2"/>
      <charset val="204"/>
    </font>
    <font>
      <sz val="9"/>
      <color theme="0"/>
      <name val="Verdana"/>
      <family val="2"/>
      <charset val="204"/>
    </font>
    <font>
      <b/>
      <sz val="9"/>
      <color theme="0"/>
      <name val="Verdana"/>
      <family val="2"/>
      <charset val="204"/>
    </font>
    <font>
      <sz val="11"/>
      <color theme="0"/>
      <name val="Calibri"/>
      <family val="2"/>
      <charset val="204"/>
    </font>
    <font>
      <b/>
      <u/>
      <sz val="10"/>
      <color theme="0"/>
      <name val="Arial Cyr"/>
      <charset val="204"/>
    </font>
    <font>
      <sz val="10"/>
      <color theme="0"/>
      <name val="Arial Cyr"/>
      <charset val="204"/>
    </font>
    <font>
      <i/>
      <sz val="11"/>
      <color theme="0"/>
      <name val="Calibri"/>
      <family val="2"/>
      <charset val="204"/>
    </font>
    <font>
      <b/>
      <u/>
      <sz val="11"/>
      <color theme="0"/>
      <name val="Calibri"/>
      <family val="2"/>
      <charset val="204"/>
    </font>
    <font>
      <b/>
      <sz val="10"/>
      <color theme="0"/>
      <name val="Arial Cyr"/>
      <charset val="204"/>
    </font>
    <font>
      <sz val="8"/>
      <color theme="0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0" fontId="10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3" fillId="0" borderId="0"/>
    <xf numFmtId="0" fontId="3" fillId="0" borderId="0"/>
    <xf numFmtId="0" fontId="3" fillId="0" borderId="0"/>
    <xf numFmtId="0" fontId="1" fillId="0" borderId="0"/>
  </cellStyleXfs>
  <cellXfs count="136">
    <xf numFmtId="0" fontId="0" fillId="0" borderId="0" xfId="0"/>
    <xf numFmtId="0" fontId="4" fillId="2" borderId="0" xfId="8" applyFont="1" applyFill="1"/>
    <xf numFmtId="0" fontId="3" fillId="2" borderId="0" xfId="8" applyFill="1"/>
    <xf numFmtId="0" fontId="3" fillId="2" borderId="0" xfId="8" applyFill="1" applyBorder="1"/>
    <xf numFmtId="0" fontId="3" fillId="2" borderId="0" xfId="8" applyFill="1" applyBorder="1" applyAlignment="1">
      <alignment vertical="top"/>
    </xf>
    <xf numFmtId="0" fontId="0" fillId="2" borderId="0" xfId="0" applyFill="1"/>
    <xf numFmtId="0" fontId="0" fillId="2" borderId="0" xfId="0" applyFill="1" applyBorder="1"/>
    <xf numFmtId="0" fontId="3" fillId="2" borderId="0" xfId="8" applyFill="1" applyAlignment="1">
      <alignment vertical="top"/>
    </xf>
    <xf numFmtId="0" fontId="4" fillId="2" borderId="0" xfId="8" applyFont="1" applyFill="1" applyAlignment="1">
      <alignment vertical="top"/>
    </xf>
    <xf numFmtId="0" fontId="4" fillId="2" borderId="0" xfId="8" applyFont="1" applyFill="1" applyBorder="1"/>
    <xf numFmtId="0" fontId="5" fillId="2" borderId="0" xfId="8" applyFont="1" applyFill="1" applyBorder="1" applyAlignment="1">
      <alignment horizontal="center" vertical="center"/>
    </xf>
    <xf numFmtId="166" fontId="8" fillId="3" borderId="1" xfId="8" applyNumberFormat="1" applyFont="1" applyFill="1" applyBorder="1" applyAlignment="1">
      <alignment horizontal="center" vertical="center"/>
    </xf>
    <xf numFmtId="0" fontId="15" fillId="4" borderId="0" xfId="2" applyFont="1" applyFill="1" applyAlignment="1">
      <alignment horizontal="left" vertical="top"/>
    </xf>
    <xf numFmtId="0" fontId="15" fillId="4" borderId="0" xfId="2" applyFont="1" applyFill="1" applyAlignment="1">
      <alignment horizontal="right" vertical="top"/>
    </xf>
    <xf numFmtId="0" fontId="15" fillId="0" borderId="0" xfId="2" applyFont="1" applyAlignment="1">
      <alignment horizontal="left" vertical="top"/>
    </xf>
    <xf numFmtId="0" fontId="16" fillId="4" borderId="0" xfId="2" applyFont="1" applyFill="1" applyAlignment="1">
      <alignment vertical="center"/>
    </xf>
    <xf numFmtId="0" fontId="17" fillId="4" borderId="0" xfId="2" applyFont="1" applyFill="1" applyAlignment="1">
      <alignment vertical="top"/>
    </xf>
    <xf numFmtId="0" fontId="18" fillId="4" borderId="0" xfId="2" applyFont="1" applyFill="1" applyAlignment="1">
      <alignment horizontal="left" vertical="top"/>
    </xf>
    <xf numFmtId="0" fontId="19" fillId="4" borderId="0" xfId="2" applyFont="1" applyFill="1" applyBorder="1" applyAlignment="1">
      <alignment horizontal="left" vertical="center"/>
    </xf>
    <xf numFmtId="0" fontId="19" fillId="4" borderId="0" xfId="2" applyFont="1" applyFill="1" applyAlignment="1">
      <alignment horizontal="left" vertical="top"/>
    </xf>
    <xf numFmtId="0" fontId="18" fillId="4" borderId="6" xfId="2" applyFont="1" applyFill="1" applyBorder="1" applyAlignment="1">
      <alignment horizontal="left" vertical="center"/>
    </xf>
    <xf numFmtId="0" fontId="18" fillId="4" borderId="6" xfId="2" applyFont="1" applyFill="1" applyBorder="1" applyAlignment="1">
      <alignment horizontal="left" vertical="top"/>
    </xf>
    <xf numFmtId="0" fontId="18" fillId="4" borderId="6" xfId="2" applyFont="1" applyFill="1" applyBorder="1" applyAlignment="1">
      <alignment horizontal="center" vertical="center"/>
    </xf>
    <xf numFmtId="0" fontId="15" fillId="4" borderId="6" xfId="2" applyFont="1" applyFill="1" applyBorder="1" applyAlignment="1">
      <alignment horizontal="center" vertical="center"/>
    </xf>
    <xf numFmtId="0" fontId="15" fillId="4" borderId="6" xfId="2" applyFont="1" applyFill="1" applyBorder="1" applyAlignment="1">
      <alignment horizontal="left" vertical="top"/>
    </xf>
    <xf numFmtId="0" fontId="15" fillId="4" borderId="0" xfId="2" applyFont="1" applyFill="1" applyBorder="1" applyAlignment="1">
      <alignment horizontal="left" vertical="top"/>
    </xf>
    <xf numFmtId="0" fontId="15" fillId="4" borderId="7" xfId="2" applyFont="1" applyFill="1" applyBorder="1" applyAlignment="1">
      <alignment horizontal="left" vertical="center" wrapText="1"/>
    </xf>
    <xf numFmtId="0" fontId="18" fillId="4" borderId="7" xfId="2" applyFont="1" applyFill="1" applyBorder="1" applyAlignment="1">
      <alignment horizontal="center" vertical="center"/>
    </xf>
    <xf numFmtId="0" fontId="15" fillId="4" borderId="8" xfId="2" applyFont="1" applyFill="1" applyBorder="1" applyAlignment="1">
      <alignment horizontal="left" vertical="center" wrapText="1"/>
    </xf>
    <xf numFmtId="0" fontId="18" fillId="4" borderId="8" xfId="2" applyFont="1" applyFill="1" applyBorder="1" applyAlignment="1">
      <alignment horizontal="center" vertical="center"/>
    </xf>
    <xf numFmtId="0" fontId="15" fillId="4" borderId="6" xfId="2" applyFont="1" applyFill="1" applyBorder="1" applyAlignment="1">
      <alignment horizontal="left" vertical="center" wrapText="1"/>
    </xf>
    <xf numFmtId="168" fontId="20" fillId="4" borderId="6" xfId="2" applyNumberFormat="1" applyFont="1" applyFill="1" applyBorder="1" applyAlignment="1">
      <alignment horizontal="center" vertical="center"/>
    </xf>
    <xf numFmtId="0" fontId="15" fillId="0" borderId="0" xfId="2" applyFont="1" applyAlignment="1">
      <alignment horizontal="right" vertical="top"/>
    </xf>
    <xf numFmtId="0" fontId="21" fillId="4" borderId="0" xfId="2" applyFont="1" applyFill="1" applyAlignment="1">
      <alignment horizontal="left" vertical="top"/>
    </xf>
    <xf numFmtId="0" fontId="15" fillId="4" borderId="9" xfId="2" applyFont="1" applyFill="1" applyBorder="1" applyAlignment="1">
      <alignment horizontal="left" vertical="top"/>
    </xf>
    <xf numFmtId="0" fontId="18" fillId="4" borderId="6" xfId="2" applyFont="1" applyFill="1" applyBorder="1" applyAlignment="1" applyProtection="1">
      <alignment horizontal="center" vertical="center"/>
      <protection locked="0"/>
    </xf>
    <xf numFmtId="49" fontId="22" fillId="4" borderId="0" xfId="2" applyNumberFormat="1" applyFont="1" applyFill="1" applyBorder="1" applyAlignment="1">
      <alignment horizontal="left" vertical="top"/>
    </xf>
    <xf numFmtId="49" fontId="23" fillId="4" borderId="0" xfId="2" applyNumberFormat="1" applyFont="1" applyFill="1" applyBorder="1" applyAlignment="1">
      <alignment horizontal="left" vertical="top"/>
    </xf>
    <xf numFmtId="0" fontId="25" fillId="4" borderId="0" xfId="0" applyFont="1" applyFill="1" applyBorder="1"/>
    <xf numFmtId="0" fontId="25" fillId="4" borderId="0" xfId="0" applyFont="1" applyFill="1" applyBorder="1" applyProtection="1">
      <protection locked="0"/>
    </xf>
    <xf numFmtId="0" fontId="26" fillId="4" borderId="0" xfId="8" applyFont="1" applyFill="1" applyBorder="1" applyAlignment="1">
      <alignment horizontal="center"/>
    </xf>
    <xf numFmtId="0" fontId="27" fillId="4" borderId="0" xfId="8" applyFont="1" applyFill="1" applyBorder="1"/>
    <xf numFmtId="0" fontId="27" fillId="4" borderId="0" xfId="8" applyFont="1" applyFill="1" applyBorder="1" applyProtection="1">
      <protection locked="0"/>
    </xf>
    <xf numFmtId="0" fontId="27" fillId="4" borderId="0" xfId="8" applyFont="1" applyFill="1" applyBorder="1" applyAlignment="1">
      <alignment vertical="center"/>
    </xf>
    <xf numFmtId="165" fontId="28" fillId="4" borderId="0" xfId="0" applyNumberFormat="1" applyFont="1" applyFill="1" applyBorder="1"/>
    <xf numFmtId="165" fontId="27" fillId="4" borderId="0" xfId="8" applyNumberFormat="1" applyFont="1" applyFill="1" applyBorder="1" applyProtection="1">
      <protection locked="0"/>
    </xf>
    <xf numFmtId="0" fontId="27" fillId="4" borderId="0" xfId="8" applyFont="1" applyFill="1" applyBorder="1" applyAlignment="1">
      <alignment vertical="top"/>
    </xf>
    <xf numFmtId="165" fontId="27" fillId="4" borderId="0" xfId="8" applyNumberFormat="1" applyFont="1" applyFill="1" applyBorder="1"/>
    <xf numFmtId="0" fontId="27" fillId="4" borderId="0" xfId="8" applyFont="1" applyFill="1" applyBorder="1" applyAlignment="1">
      <alignment horizontal="left" vertical="center"/>
    </xf>
    <xf numFmtId="0" fontId="25" fillId="4" borderId="0" xfId="0" applyFont="1" applyFill="1" applyBorder="1" applyAlignment="1">
      <alignment horizontal="right"/>
    </xf>
    <xf numFmtId="0" fontId="25" fillId="4" borderId="0" xfId="0" applyFont="1" applyFill="1" applyBorder="1" applyAlignment="1">
      <alignment horizontal="center"/>
    </xf>
    <xf numFmtId="0" fontId="25" fillId="4" borderId="0" xfId="0" applyFont="1" applyFill="1" applyBorder="1" applyAlignment="1" applyProtection="1">
      <alignment horizontal="center"/>
      <protection locked="0"/>
    </xf>
    <xf numFmtId="4" fontId="28" fillId="4" borderId="0" xfId="0" applyNumberFormat="1" applyFont="1" applyFill="1" applyBorder="1" applyProtection="1">
      <protection locked="0"/>
    </xf>
    <xf numFmtId="0" fontId="27" fillId="4" borderId="0" xfId="8" applyFont="1" applyFill="1" applyBorder="1" applyAlignment="1">
      <alignment horizontal="left"/>
    </xf>
    <xf numFmtId="0" fontId="27" fillId="4" borderId="0" xfId="8" applyFont="1" applyFill="1" applyBorder="1" applyAlignment="1">
      <alignment horizontal="center"/>
    </xf>
    <xf numFmtId="167" fontId="28" fillId="4" borderId="0" xfId="0" applyNumberFormat="1" applyFont="1" applyFill="1" applyBorder="1"/>
    <xf numFmtId="0" fontId="25" fillId="4" borderId="0" xfId="0" applyFont="1" applyFill="1" applyBorder="1" applyAlignment="1">
      <alignment horizontal="left"/>
    </xf>
    <xf numFmtId="0" fontId="25" fillId="4" borderId="0" xfId="0" applyNumberFormat="1" applyFont="1" applyFill="1" applyBorder="1" applyAlignment="1">
      <alignment horizontal="center"/>
    </xf>
    <xf numFmtId="49" fontId="25" fillId="4" borderId="0" xfId="0" applyNumberFormat="1" applyFont="1" applyFill="1" applyBorder="1" applyAlignment="1">
      <alignment horizontal="right"/>
    </xf>
    <xf numFmtId="0" fontId="27" fillId="4" borderId="0" xfId="8" applyFont="1" applyFill="1" applyBorder="1" applyAlignment="1">
      <alignment horizontal="right"/>
    </xf>
    <xf numFmtId="49" fontId="27" fillId="4" borderId="0" xfId="8" applyNumberFormat="1" applyFont="1" applyFill="1" applyBorder="1" applyAlignment="1">
      <alignment horizontal="center"/>
    </xf>
    <xf numFmtId="0" fontId="27" fillId="4" borderId="0" xfId="6" applyFont="1" applyFill="1" applyBorder="1"/>
    <xf numFmtId="49" fontId="27" fillId="4" borderId="0" xfId="6" applyNumberFormat="1" applyFont="1" applyFill="1" applyBorder="1" applyAlignment="1">
      <alignment horizontal="right"/>
    </xf>
    <xf numFmtId="165" fontId="28" fillId="4" borderId="0" xfId="9" applyNumberFormat="1" applyFont="1" applyFill="1" applyBorder="1"/>
    <xf numFmtId="0" fontId="27" fillId="4" borderId="0" xfId="8" applyFont="1" applyFill="1" applyBorder="1" applyAlignment="1">
      <alignment horizontal="center" vertical="top"/>
    </xf>
    <xf numFmtId="0" fontId="27" fillId="4" borderId="0" xfId="6" applyFont="1" applyFill="1" applyBorder="1" applyAlignment="1">
      <alignment horizontal="left"/>
    </xf>
    <xf numFmtId="0" fontId="27" fillId="4" borderId="0" xfId="7" applyFont="1" applyFill="1" applyBorder="1" applyAlignment="1">
      <alignment horizontal="center"/>
    </xf>
    <xf numFmtId="0" fontId="27" fillId="4" borderId="0" xfId="6" applyFont="1" applyFill="1" applyBorder="1" applyAlignment="1">
      <alignment horizontal="center"/>
    </xf>
    <xf numFmtId="0" fontId="23" fillId="4" borderId="0" xfId="2" applyFont="1" applyFill="1" applyBorder="1" applyAlignment="1" applyProtection="1">
      <alignment horizontal="left" vertical="top"/>
      <protection locked="0"/>
    </xf>
    <xf numFmtId="0" fontId="24" fillId="4" borderId="0" xfId="2" applyFont="1" applyFill="1" applyBorder="1" applyAlignment="1">
      <alignment horizontal="left" vertical="top"/>
    </xf>
    <xf numFmtId="0" fontId="23" fillId="4" borderId="0" xfId="2" applyNumberFormat="1" applyFont="1" applyFill="1" applyBorder="1" applyAlignment="1">
      <alignment horizontal="left" vertical="top"/>
    </xf>
    <xf numFmtId="0" fontId="23" fillId="4" borderId="0" xfId="0" applyNumberFormat="1" applyFont="1" applyFill="1" applyBorder="1" applyAlignment="1">
      <alignment horizontal="left" vertical="top"/>
    </xf>
    <xf numFmtId="4" fontId="23" fillId="4" borderId="0" xfId="2" applyNumberFormat="1" applyFont="1" applyFill="1" applyBorder="1" applyAlignment="1">
      <alignment horizontal="left" vertical="top"/>
    </xf>
    <xf numFmtId="2" fontId="23" fillId="4" borderId="0" xfId="2" applyNumberFormat="1" applyFont="1" applyFill="1" applyBorder="1" applyAlignment="1">
      <alignment horizontal="left" vertical="top"/>
    </xf>
    <xf numFmtId="49" fontId="25" fillId="4" borderId="0" xfId="0" applyNumberFormat="1" applyFont="1" applyFill="1" applyBorder="1"/>
    <xf numFmtId="2" fontId="25" fillId="4" borderId="0" xfId="0" applyNumberFormat="1" applyFont="1" applyFill="1" applyBorder="1"/>
    <xf numFmtId="0" fontId="23" fillId="4" borderId="0" xfId="0" applyFont="1" applyFill="1" applyBorder="1" applyAlignment="1">
      <alignment horizontal="left"/>
    </xf>
    <xf numFmtId="0" fontId="29" fillId="4" borderId="0" xfId="0" applyFont="1" applyFill="1" applyBorder="1"/>
    <xf numFmtId="0" fontId="30" fillId="4" borderId="0" xfId="8" applyFont="1" applyFill="1" applyBorder="1" applyAlignment="1">
      <alignment vertical="center"/>
    </xf>
    <xf numFmtId="0" fontId="27" fillId="4" borderId="0" xfId="8" applyFont="1" applyFill="1" applyBorder="1" applyAlignment="1" applyProtection="1">
      <alignment vertical="center"/>
      <protection locked="0"/>
    </xf>
    <xf numFmtId="4" fontId="27" fillId="4" borderId="0" xfId="8" applyNumberFormat="1" applyFont="1" applyFill="1" applyBorder="1" applyAlignment="1">
      <alignment horizontal="right" vertical="center"/>
    </xf>
    <xf numFmtId="0" fontId="31" fillId="4" borderId="0" xfId="8" applyFont="1" applyFill="1" applyBorder="1" applyAlignment="1">
      <alignment horizontal="left"/>
    </xf>
    <xf numFmtId="164" fontId="27" fillId="4" borderId="0" xfId="8" applyNumberFormat="1" applyFont="1" applyFill="1" applyBorder="1" applyAlignment="1">
      <alignment vertical="center"/>
    </xf>
    <xf numFmtId="2" fontId="27" fillId="4" borderId="0" xfId="8" applyNumberFormat="1" applyFont="1" applyFill="1" applyBorder="1" applyAlignment="1">
      <alignment horizontal="center" wrapText="1"/>
    </xf>
    <xf numFmtId="2" fontId="27" fillId="4" borderId="0" xfId="8" applyNumberFormat="1" applyFont="1" applyFill="1" applyBorder="1"/>
    <xf numFmtId="1" fontId="27" fillId="4" borderId="0" xfId="8" applyNumberFormat="1" applyFont="1" applyFill="1" applyBorder="1" applyAlignment="1" applyProtection="1">
      <alignment horizontal="center" vertical="center"/>
      <protection locked="0"/>
    </xf>
    <xf numFmtId="0" fontId="23" fillId="4" borderId="0" xfId="2" applyFont="1" applyFill="1" applyBorder="1" applyAlignment="1">
      <alignment horizontal="left" vertical="top"/>
    </xf>
    <xf numFmtId="0" fontId="0" fillId="0" borderId="1" xfId="0" applyBorder="1" applyAlignment="1"/>
    <xf numFmtId="0" fontId="0" fillId="0" borderId="0" xfId="0" applyAlignment="1"/>
    <xf numFmtId="0" fontId="3" fillId="2" borderId="2" xfId="8" applyFont="1" applyFill="1" applyBorder="1" applyAlignment="1">
      <alignment horizontal="left" vertical="top" wrapText="1"/>
    </xf>
    <xf numFmtId="0" fontId="3" fillId="2" borderId="3" xfId="8" applyFont="1" applyFill="1" applyBorder="1" applyAlignment="1">
      <alignment horizontal="left" vertical="top" wrapText="1"/>
    </xf>
    <xf numFmtId="0" fontId="3" fillId="2" borderId="4" xfId="8" applyFont="1" applyFill="1" applyBorder="1" applyAlignment="1">
      <alignment horizontal="left" vertical="top" wrapText="1"/>
    </xf>
    <xf numFmtId="0" fontId="3" fillId="2" borderId="2" xfId="8" applyFont="1" applyFill="1" applyBorder="1" applyAlignment="1">
      <alignment vertical="top"/>
    </xf>
    <xf numFmtId="0" fontId="3" fillId="2" borderId="3" xfId="8" applyFont="1" applyFill="1" applyBorder="1" applyAlignment="1">
      <alignment vertical="top"/>
    </xf>
    <xf numFmtId="0" fontId="3" fillId="2" borderId="4" xfId="8" applyFont="1" applyFill="1" applyBorder="1" applyAlignment="1">
      <alignment vertical="top"/>
    </xf>
    <xf numFmtId="0" fontId="3" fillId="2" borderId="1" xfId="8" applyFont="1" applyFill="1" applyBorder="1" applyAlignment="1">
      <alignment vertical="top"/>
    </xf>
    <xf numFmtId="0" fontId="3" fillId="3" borderId="1" xfId="8" applyFont="1" applyFill="1" applyBorder="1" applyAlignment="1">
      <alignment horizontal="right" vertical="top"/>
    </xf>
    <xf numFmtId="0" fontId="0" fillId="3" borderId="1" xfId="0" applyFill="1" applyBorder="1" applyAlignment="1">
      <alignment horizontal="right" vertical="top"/>
    </xf>
    <xf numFmtId="0" fontId="3" fillId="2" borderId="3" xfId="8" applyFill="1" applyBorder="1" applyAlignment="1">
      <alignment vertical="top"/>
    </xf>
    <xf numFmtId="0" fontId="3" fillId="2" borderId="4" xfId="8" applyFill="1" applyBorder="1" applyAlignment="1">
      <alignment vertical="top"/>
    </xf>
    <xf numFmtId="0" fontId="3" fillId="2" borderId="1" xfId="8" applyFill="1" applyBorder="1" applyAlignment="1">
      <alignment vertical="top"/>
    </xf>
    <xf numFmtId="0" fontId="3" fillId="2" borderId="12" xfId="8" applyFont="1" applyFill="1" applyBorder="1" applyAlignment="1">
      <alignment horizontal="left" vertical="top" wrapText="1"/>
    </xf>
    <xf numFmtId="0" fontId="3" fillId="2" borderId="1" xfId="8" applyFont="1" applyFill="1" applyBorder="1" applyAlignment="1">
      <alignment horizontal="left" vertical="top" wrapText="1"/>
    </xf>
    <xf numFmtId="0" fontId="3" fillId="2" borderId="1" xfId="8" applyFont="1" applyFill="1" applyBorder="1" applyAlignment="1">
      <alignment vertical="top" wrapText="1"/>
    </xf>
    <xf numFmtId="0" fontId="4" fillId="2" borderId="6" xfId="8" applyFont="1" applyFill="1" applyBorder="1" applyAlignment="1">
      <alignment vertical="top"/>
    </xf>
    <xf numFmtId="0" fontId="3" fillId="2" borderId="12" xfId="8" applyFont="1" applyFill="1" applyBorder="1" applyAlignment="1">
      <alignment vertical="top" wrapText="1"/>
    </xf>
    <xf numFmtId="0" fontId="3" fillId="2" borderId="9" xfId="8" applyFont="1" applyFill="1" applyBorder="1" applyAlignment="1">
      <alignment vertical="top" wrapText="1"/>
    </xf>
    <xf numFmtId="0" fontId="3" fillId="2" borderId="13" xfId="8" applyFont="1" applyFill="1" applyBorder="1" applyAlignment="1">
      <alignment vertical="top" wrapText="1"/>
    </xf>
    <xf numFmtId="0" fontId="3" fillId="2" borderId="1" xfId="8" applyFont="1" applyFill="1" applyBorder="1" applyAlignment="1"/>
    <xf numFmtId="0" fontId="3" fillId="2" borderId="2" xfId="8" applyFont="1" applyFill="1" applyBorder="1" applyAlignment="1">
      <alignment vertical="top" wrapText="1"/>
    </xf>
    <xf numFmtId="0" fontId="3" fillId="2" borderId="3" xfId="8" applyFont="1" applyFill="1" applyBorder="1" applyAlignment="1">
      <alignment vertical="top" wrapText="1"/>
    </xf>
    <xf numFmtId="0" fontId="3" fillId="2" borderId="4" xfId="8" applyFont="1" applyFill="1" applyBorder="1" applyAlignment="1">
      <alignment vertical="top" wrapText="1"/>
    </xf>
    <xf numFmtId="0" fontId="3" fillId="2" borderId="10" xfId="8" applyFont="1" applyFill="1" applyBorder="1" applyAlignment="1">
      <alignment vertical="top" wrapText="1"/>
    </xf>
    <xf numFmtId="0" fontId="3" fillId="2" borderId="6" xfId="8" applyFont="1" applyFill="1" applyBorder="1" applyAlignment="1">
      <alignment vertical="top" wrapText="1"/>
    </xf>
    <xf numFmtId="0" fontId="3" fillId="2" borderId="11" xfId="8" applyFont="1" applyFill="1" applyBorder="1" applyAlignment="1">
      <alignment vertical="top" wrapText="1"/>
    </xf>
    <xf numFmtId="0" fontId="3" fillId="2" borderId="0" xfId="8" applyFont="1" applyFill="1" applyBorder="1" applyAlignment="1">
      <alignment horizontal="left" vertical="top" wrapText="1"/>
    </xf>
    <xf numFmtId="0" fontId="3" fillId="2" borderId="0" xfId="8" applyFont="1" applyFill="1" applyBorder="1" applyAlignment="1">
      <alignment horizontal="right" vertical="top"/>
    </xf>
    <xf numFmtId="0" fontId="0" fillId="2" borderId="0" xfId="0" applyFill="1" applyBorder="1" applyAlignment="1">
      <alignment horizontal="right" vertical="top"/>
    </xf>
    <xf numFmtId="0" fontId="3" fillId="2" borderId="1" xfId="8" applyFont="1" applyFill="1" applyBorder="1" applyAlignment="1">
      <alignment horizontal="right" vertical="top"/>
    </xf>
    <xf numFmtId="0" fontId="0" fillId="2" borderId="1" xfId="0" applyFill="1" applyBorder="1" applyAlignment="1">
      <alignment horizontal="right" vertical="top"/>
    </xf>
    <xf numFmtId="0" fontId="6" fillId="2" borderId="0" xfId="8" applyFont="1" applyFill="1" applyBorder="1" applyAlignment="1">
      <alignment horizontal="center" vertical="center"/>
    </xf>
    <xf numFmtId="0" fontId="0" fillId="0" borderId="1" xfId="0" applyBorder="1" applyAlignment="1">
      <alignment horizontal="right" vertical="top"/>
    </xf>
    <xf numFmtId="0" fontId="7" fillId="0" borderId="0" xfId="0" applyFont="1" applyBorder="1" applyAlignment="1">
      <alignment horizontal="center" vertical="center"/>
    </xf>
    <xf numFmtId="0" fontId="3" fillId="2" borderId="9" xfId="8" applyFont="1" applyFill="1" applyBorder="1" applyAlignment="1">
      <alignment horizontal="left" vertical="top" wrapText="1"/>
    </xf>
    <xf numFmtId="0" fontId="3" fillId="2" borderId="13" xfId="8" applyFont="1" applyFill="1" applyBorder="1" applyAlignment="1">
      <alignment horizontal="left" vertical="top" wrapText="1"/>
    </xf>
    <xf numFmtId="0" fontId="0" fillId="0" borderId="14" xfId="0" applyBorder="1" applyAlignment="1"/>
    <xf numFmtId="0" fontId="0" fillId="0" borderId="5" xfId="0" applyBorder="1" applyAlignment="1"/>
    <xf numFmtId="0" fontId="0" fillId="0" borderId="10" xfId="0" applyBorder="1" applyAlignment="1"/>
    <xf numFmtId="0" fontId="0" fillId="0" borderId="6" xfId="0" applyBorder="1" applyAlignment="1"/>
    <xf numFmtId="0" fontId="0" fillId="0" borderId="11" xfId="0" applyBorder="1" applyAlignment="1"/>
    <xf numFmtId="166" fontId="8" fillId="3" borderId="0" xfId="8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/>
    <xf numFmtId="0" fontId="7" fillId="2" borderId="0" xfId="0" applyFont="1" applyFill="1" applyBorder="1" applyAlignment="1">
      <alignment horizontal="center" vertical="center"/>
    </xf>
    <xf numFmtId="0" fontId="5" fillId="2" borderId="0" xfId="8" applyFont="1" applyFill="1" applyBorder="1" applyAlignment="1">
      <alignment horizontal="left" vertical="center"/>
    </xf>
    <xf numFmtId="0" fontId="23" fillId="4" borderId="0" xfId="2" applyFont="1" applyFill="1" applyBorder="1" applyAlignment="1">
      <alignment horizontal="center" vertical="top"/>
    </xf>
    <xf numFmtId="0" fontId="23" fillId="4" borderId="0" xfId="2" applyFont="1" applyFill="1" applyBorder="1" applyAlignment="1">
      <alignment horizontal="left" vertical="top"/>
    </xf>
  </cellXfs>
  <cellStyles count="10">
    <cellStyle name="Обычный" xfId="0" builtinId="0"/>
    <cellStyle name="Обычный 2" xfId="1"/>
    <cellStyle name="Обычный 2 2" xfId="2"/>
    <cellStyle name="Обычный 2 3" xfId="3"/>
    <cellStyle name="Обычный 3" xfId="4"/>
    <cellStyle name="Обычный 4" xfId="5"/>
    <cellStyle name="Обычный__" xfId="6"/>
    <cellStyle name="Обычный_Matrix" xfId="7"/>
    <cellStyle name="Обычный_SMH2gi" xfId="8"/>
    <cellStyle name="Обычный_Лист1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1.xml><?xml version="1.0" encoding="utf-8"?>
<formControlPr xmlns="http://schemas.microsoft.com/office/spreadsheetml/2009/9/main" objectType="Drop" dropStyle="combo" dx="22" fmlaLink="_!$E$74" fmlaRange="_!$B$75:$B$79" noThreeD="1" sel="1" val="0"/>
</file>

<file path=xl/ctrlProps/ctrlProp12.xml><?xml version="1.0" encoding="utf-8"?>
<formControlPr xmlns="http://schemas.microsoft.com/office/spreadsheetml/2009/9/main" objectType="Drop" dropStyle="combo" dx="22" fmlaLink="_!$E$80" fmlaRange="_!$B$81:$B$86" noThreeD="1" sel="2" val="0"/>
</file>

<file path=xl/ctrlProps/ctrlProp13.xml><?xml version="1.0" encoding="utf-8"?>
<formControlPr xmlns="http://schemas.microsoft.com/office/spreadsheetml/2009/9/main" objectType="Drop" dropStyle="combo" dx="22" fmlaLink="_!$E$106" fmlaRange="_!$B$107:$B$108" noThreeD="1" sel="1" val="0"/>
</file>

<file path=xl/ctrlProps/ctrlProp14.xml><?xml version="1.0" encoding="utf-8"?>
<formControlPr xmlns="http://schemas.microsoft.com/office/spreadsheetml/2009/9/main" objectType="Drop" dropStyle="combo" dx="22" fmlaLink="_!$E$103" fmlaRange="_!$B$104:$B$105" noThreeD="1" sel="2" val="0"/>
</file>

<file path=xl/ctrlProps/ctrlProp15.xml><?xml version="1.0" encoding="utf-8"?>
<formControlPr xmlns="http://schemas.microsoft.com/office/spreadsheetml/2009/9/main" objectType="Drop" dropStyle="combo" dx="22" fmlaLink="_!$E$109" fmlaRange="_!$B$110:$B$111" noThreeD="1" sel="1" val="0"/>
</file>

<file path=xl/ctrlProps/ctrlProp16.xml><?xml version="1.0" encoding="utf-8"?>
<formControlPr xmlns="http://schemas.microsoft.com/office/spreadsheetml/2009/9/main" objectType="Drop" dropStyle="combo" dx="22" fmlaLink="_!$E$112" fmlaRange="_!$B$114:$B$116" noThreeD="1" sel="2" val="0"/>
</file>

<file path=xl/ctrlProps/ctrlProp8.xml><?xml version="1.0" encoding="utf-8"?>
<formControlPr xmlns="http://schemas.microsoft.com/office/spreadsheetml/2009/9/main" objectType="Drop" dropLines="18" dropStyle="combo" dx="22" fmlaLink="_!$AD$216" fmlaRange="_!$F$218:$F$232" sel="1" val="0"/>
</file>

<file path=xl/ctrlProps/ctrlProp9.xml><?xml version="1.0" encoding="utf-8"?>
<formControlPr xmlns="http://schemas.microsoft.com/office/spreadsheetml/2009/9/main" objectType="Drop" dropLines="18" dropStyle="combo" dx="22" fmlaLink="_!$AE$216" fmlaRange="_!$F$218:$F$232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2600325</xdr:colOff>
      <xdr:row>6</xdr:row>
      <xdr:rowOff>95250</xdr:rowOff>
    </xdr:from>
    <xdr:to>
      <xdr:col>15</xdr:col>
      <xdr:colOff>600075</xdr:colOff>
      <xdr:row>13</xdr:row>
      <xdr:rowOff>342900</xdr:rowOff>
    </xdr:to>
    <xdr:pic>
      <xdr:nvPicPr>
        <xdr:cNvPr id="29854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353175" y="1971675"/>
          <a:ext cx="5257800" cy="278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457200</xdr:colOff>
      <xdr:row>11</xdr:row>
      <xdr:rowOff>123825</xdr:rowOff>
    </xdr:to>
    <xdr:pic>
      <xdr:nvPicPr>
        <xdr:cNvPr id="1963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436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485775</xdr:colOff>
      <xdr:row>9</xdr:row>
      <xdr:rowOff>66675</xdr:rowOff>
    </xdr:to>
    <xdr:pic>
      <xdr:nvPicPr>
        <xdr:cNvPr id="5318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529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0</xdr:row>
      <xdr:rowOff>0</xdr:rowOff>
    </xdr:from>
    <xdr:to>
      <xdr:col>8</xdr:col>
      <xdr:colOff>581025</xdr:colOff>
      <xdr:row>12</xdr:row>
      <xdr:rowOff>114300</xdr:rowOff>
    </xdr:to>
    <xdr:pic>
      <xdr:nvPicPr>
        <xdr:cNvPr id="1879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57550" y="0"/>
          <a:ext cx="220027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6</xdr:row>
      <xdr:rowOff>133350</xdr:rowOff>
    </xdr:from>
    <xdr:to>
      <xdr:col>2</xdr:col>
      <xdr:colOff>390525</xdr:colOff>
      <xdr:row>12</xdr:row>
      <xdr:rowOff>9525</xdr:rowOff>
    </xdr:to>
    <xdr:pic>
      <xdr:nvPicPr>
        <xdr:cNvPr id="18795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1104900"/>
          <a:ext cx="11811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trlProp" Target="../ctrlProps/ctrlProp9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8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13.bin"/><Relationship Id="rId4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.xml"/><Relationship Id="rId13" Type="http://schemas.openxmlformats.org/officeDocument/2006/relationships/ctrlProp" Target="../ctrlProps/ctrlProp16.xml"/><Relationship Id="rId3" Type="http://schemas.openxmlformats.org/officeDocument/2006/relationships/printerSettings" Target="../printerSettings/printerSettings16.bin"/><Relationship Id="rId7" Type="http://schemas.openxmlformats.org/officeDocument/2006/relationships/vmlDrawing" Target="../drawings/vmlDrawing2.vml"/><Relationship Id="rId12" Type="http://schemas.openxmlformats.org/officeDocument/2006/relationships/ctrlProp" Target="../ctrlProps/ctrlProp15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drawing" Target="../drawings/drawing4.xml"/><Relationship Id="rId11" Type="http://schemas.openxmlformats.org/officeDocument/2006/relationships/ctrlProp" Target="../ctrlProps/ctrlProp14.xml"/><Relationship Id="rId5" Type="http://schemas.openxmlformats.org/officeDocument/2006/relationships/printerSettings" Target="../printerSettings/printerSettings18.bin"/><Relationship Id="rId10" Type="http://schemas.openxmlformats.org/officeDocument/2006/relationships/ctrlProp" Target="../ctrlProps/ctrlProp13.xml"/><Relationship Id="rId4" Type="http://schemas.openxmlformats.org/officeDocument/2006/relationships/printerSettings" Target="../printerSettings/printerSettings17.bin"/><Relationship Id="rId9" Type="http://schemas.openxmlformats.org/officeDocument/2006/relationships/ctrlProp" Target="../ctrlProps/ctrlProp1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vmlDrawing" Target="../drawings/vmlDrawing3.vml"/><Relationship Id="rId5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4"/>
  <dimension ref="A1:U34"/>
  <sheetViews>
    <sheetView zoomScale="120" zoomScaleNormal="120" workbookViewId="0">
      <selection activeCell="E7" sqref="E7"/>
    </sheetView>
  </sheetViews>
  <sheetFormatPr defaultRowHeight="14.25"/>
  <cols>
    <col min="1" max="1" width="9.140625" style="14"/>
    <col min="2" max="2" width="8" style="14" customWidth="1"/>
    <col min="3" max="3" width="23.28515625" style="32" customWidth="1"/>
    <col min="4" max="4" width="15.85546875" style="32" customWidth="1"/>
    <col min="5" max="5" width="41.28515625" style="14" customWidth="1"/>
    <col min="6" max="6" width="8.85546875" style="14" customWidth="1"/>
    <col min="7" max="7" width="10" style="14" customWidth="1"/>
    <col min="8" max="8" width="5" style="14" customWidth="1"/>
    <col min="9" max="9" width="1.85546875" style="14" customWidth="1"/>
    <col min="10" max="10" width="6.42578125" style="14" customWidth="1"/>
    <col min="11" max="11" width="1.85546875" style="14" customWidth="1"/>
    <col min="12" max="12" width="6.140625" style="14" customWidth="1"/>
    <col min="13" max="16384" width="9.140625" style="14"/>
  </cols>
  <sheetData>
    <row r="1" spans="1:21" ht="45" customHeight="1">
      <c r="A1" s="12"/>
      <c r="B1" s="12"/>
      <c r="C1" s="15" t="s">
        <v>161</v>
      </c>
      <c r="D1" s="15"/>
      <c r="E1" s="15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</row>
    <row r="2" spans="1:21" ht="32.25" customHeight="1">
      <c r="A2" s="12"/>
      <c r="B2" s="12"/>
      <c r="C2" s="16" t="s">
        <v>173</v>
      </c>
      <c r="D2" s="16"/>
      <c r="E2" s="16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</row>
    <row r="3" spans="1:21">
      <c r="A3" s="12"/>
      <c r="B3" s="12"/>
      <c r="C3" s="13"/>
      <c r="D3" s="17"/>
      <c r="E3" s="12"/>
      <c r="F3" s="12"/>
      <c r="G3" s="33"/>
      <c r="H3" s="12" t="s">
        <v>174</v>
      </c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</row>
    <row r="4" spans="1:21">
      <c r="A4" s="12"/>
      <c r="B4" s="12"/>
      <c r="C4" s="13"/>
      <c r="D4" s="13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1">
      <c r="A5" s="12"/>
      <c r="B5" s="12"/>
      <c r="C5" s="18"/>
      <c r="D5" s="13"/>
      <c r="E5" s="12"/>
      <c r="F5" s="12"/>
      <c r="G5" s="19" t="s">
        <v>162</v>
      </c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</row>
    <row r="6" spans="1:21" ht="27.75" customHeight="1">
      <c r="A6" s="12"/>
      <c r="B6" s="12"/>
      <c r="C6" s="20" t="s">
        <v>56</v>
      </c>
      <c r="D6" s="21"/>
      <c r="E6" s="22"/>
      <c r="F6" s="12"/>
      <c r="G6" s="20" t="s">
        <v>175</v>
      </c>
      <c r="H6" s="35">
        <v>10</v>
      </c>
      <c r="I6" s="20" t="s">
        <v>16</v>
      </c>
      <c r="J6" s="35">
        <v>10</v>
      </c>
      <c r="K6" s="22" t="s">
        <v>16</v>
      </c>
      <c r="L6" s="22">
        <v>10</v>
      </c>
      <c r="M6" s="24"/>
      <c r="N6" s="24"/>
      <c r="O6" s="12"/>
      <c r="P6" s="12"/>
      <c r="Q6" s="12"/>
      <c r="R6" s="12"/>
      <c r="S6" s="12"/>
      <c r="T6" s="12"/>
      <c r="U6" s="12"/>
    </row>
    <row r="7" spans="1:21" ht="28.5" customHeight="1">
      <c r="A7" s="12"/>
      <c r="B7" s="25"/>
      <c r="C7" s="26" t="s">
        <v>112</v>
      </c>
      <c r="D7" s="26" t="s">
        <v>13</v>
      </c>
      <c r="E7" s="27">
        <f>_!G239</f>
        <v>16</v>
      </c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</row>
    <row r="8" spans="1:21" ht="28.5" customHeight="1">
      <c r="A8" s="12"/>
      <c r="B8" s="25"/>
      <c r="C8" s="28" t="s">
        <v>118</v>
      </c>
      <c r="D8" s="28" t="s">
        <v>163</v>
      </c>
      <c r="E8" s="29">
        <f>_!L239</f>
        <v>0</v>
      </c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</row>
    <row r="9" spans="1:21" ht="28.5" customHeight="1">
      <c r="A9" s="12"/>
      <c r="B9" s="25"/>
      <c r="C9" s="28" t="s">
        <v>116</v>
      </c>
      <c r="D9" s="28" t="s">
        <v>5</v>
      </c>
      <c r="E9" s="29">
        <f>_!H239</f>
        <v>0</v>
      </c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</row>
    <row r="10" spans="1:21" ht="28.5" customHeight="1">
      <c r="A10" s="12"/>
      <c r="B10" s="25"/>
      <c r="C10" s="28" t="s">
        <v>117</v>
      </c>
      <c r="D10" s="28" t="s">
        <v>164</v>
      </c>
      <c r="E10" s="29">
        <f>_!I239</f>
        <v>8</v>
      </c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</row>
    <row r="11" spans="1:21" ht="28.5" customHeight="1">
      <c r="A11" s="12"/>
      <c r="B11" s="25"/>
      <c r="C11" s="28" t="s">
        <v>117</v>
      </c>
      <c r="D11" s="28" t="s">
        <v>165</v>
      </c>
      <c r="E11" s="29">
        <f>_!K239</f>
        <v>0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</row>
    <row r="12" spans="1:21" ht="28.5" customHeight="1">
      <c r="A12" s="12"/>
      <c r="B12" s="25"/>
      <c r="C12" s="28" t="s">
        <v>117</v>
      </c>
      <c r="D12" s="28" t="s">
        <v>166</v>
      </c>
      <c r="E12" s="29">
        <f>_!J239</f>
        <v>0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</row>
    <row r="13" spans="1:21" ht="28.5" customHeight="1">
      <c r="A13" s="12"/>
      <c r="B13" s="25"/>
      <c r="C13" s="30"/>
      <c r="D13" s="30"/>
      <c r="E13" s="23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</row>
    <row r="14" spans="1:21" ht="35.1" customHeight="1">
      <c r="A14" s="12"/>
      <c r="B14" s="12"/>
      <c r="C14" s="20" t="s">
        <v>167</v>
      </c>
      <c r="D14" s="20"/>
      <c r="E14" s="31">
        <f>_!AF218</f>
        <v>154.56841638699998</v>
      </c>
      <c r="F14" s="12"/>
      <c r="G14" s="25"/>
      <c r="H14" s="25"/>
      <c r="I14" s="25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</row>
    <row r="15" spans="1:21">
      <c r="A15" s="12"/>
      <c r="B15" s="12"/>
      <c r="C15" s="13"/>
      <c r="D15" s="13"/>
      <c r="E15" s="12"/>
      <c r="F15" s="12"/>
      <c r="G15" s="34"/>
      <c r="H15" s="34"/>
      <c r="I15" s="34"/>
      <c r="J15" s="34"/>
      <c r="K15" s="34"/>
      <c r="L15" s="34"/>
      <c r="M15" s="34"/>
      <c r="N15" s="34"/>
      <c r="O15" s="12"/>
      <c r="P15" s="12"/>
      <c r="Q15" s="12"/>
      <c r="R15" s="12"/>
      <c r="S15" s="12"/>
      <c r="T15" s="12"/>
      <c r="U15" s="12"/>
    </row>
    <row r="16" spans="1:21">
      <c r="A16" s="12"/>
      <c r="B16" s="12"/>
      <c r="C16" s="13"/>
      <c r="D16" s="13"/>
      <c r="E16" s="12"/>
      <c r="F16" s="12"/>
      <c r="G16" s="25"/>
      <c r="H16" s="25"/>
      <c r="I16" s="25"/>
      <c r="J16" s="25"/>
      <c r="K16" s="25"/>
      <c r="L16" s="25"/>
      <c r="M16" s="25"/>
      <c r="N16" s="25"/>
      <c r="O16" s="12"/>
      <c r="P16" s="12"/>
      <c r="Q16" s="12"/>
      <c r="R16" s="12"/>
      <c r="S16" s="12"/>
      <c r="T16" s="12"/>
      <c r="U16" s="12"/>
    </row>
    <row r="17" spans="1:21">
      <c r="A17" s="12"/>
      <c r="B17" s="12"/>
      <c r="C17" s="13"/>
      <c r="D17" s="13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</row>
    <row r="18" spans="1:21">
      <c r="A18" s="12"/>
      <c r="B18" s="12"/>
      <c r="C18" s="13"/>
      <c r="D18" s="13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</row>
    <row r="19" spans="1:21">
      <c r="A19" s="12"/>
      <c r="B19" s="12"/>
      <c r="C19" s="13"/>
      <c r="D19" s="13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</row>
    <row r="20" spans="1:21">
      <c r="A20" s="12"/>
      <c r="B20" s="12"/>
      <c r="C20" s="13"/>
      <c r="D20" s="13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</row>
    <row r="21" spans="1:21">
      <c r="A21" s="12"/>
      <c r="B21" s="12"/>
      <c r="C21" s="13"/>
      <c r="D21" s="13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</row>
    <row r="22" spans="1:21">
      <c r="A22" s="12"/>
      <c r="B22" s="12"/>
      <c r="C22" s="13"/>
      <c r="D22" s="13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</row>
    <row r="23" spans="1:21">
      <c r="A23" s="12"/>
      <c r="B23" s="12"/>
      <c r="C23" s="13"/>
      <c r="D23" s="13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</row>
    <row r="24" spans="1:21">
      <c r="A24" s="12"/>
      <c r="B24" s="12"/>
      <c r="C24" s="13"/>
      <c r="D24" s="13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</row>
    <row r="25" spans="1:21">
      <c r="A25" s="12"/>
      <c r="B25" s="12"/>
      <c r="C25" s="13"/>
      <c r="D25" s="13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</row>
    <row r="26" spans="1:21">
      <c r="A26" s="12"/>
      <c r="B26" s="12"/>
      <c r="C26" s="13"/>
      <c r="D26" s="13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</row>
    <row r="27" spans="1:21">
      <c r="A27" s="12"/>
      <c r="B27" s="12"/>
      <c r="C27" s="13"/>
      <c r="D27" s="13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</row>
    <row r="28" spans="1:21">
      <c r="A28" s="12"/>
      <c r="B28" s="12"/>
      <c r="C28" s="13"/>
      <c r="D28" s="13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</row>
    <row r="29" spans="1:21">
      <c r="A29" s="12"/>
      <c r="B29" s="12"/>
      <c r="C29" s="13"/>
      <c r="D29" s="13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</row>
    <row r="30" spans="1:21">
      <c r="A30" s="12"/>
      <c r="B30" s="12"/>
      <c r="C30" s="13"/>
      <c r="D30" s="13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</row>
    <row r="31" spans="1:21">
      <c r="A31" s="12"/>
      <c r="B31" s="12"/>
      <c r="C31" s="13"/>
      <c r="D31" s="13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</row>
    <row r="32" spans="1:21">
      <c r="A32" s="12"/>
      <c r="B32" s="12"/>
      <c r="C32" s="13"/>
      <c r="D32" s="13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</row>
    <row r="33" spans="1:21">
      <c r="A33" s="12"/>
      <c r="B33" s="12"/>
      <c r="C33" s="13"/>
      <c r="D33" s="13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</row>
    <row r="34" spans="1:21">
      <c r="A34" s="12"/>
      <c r="B34" s="12"/>
      <c r="C34" s="13"/>
      <c r="D34" s="13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</row>
  </sheetData>
  <sheetProtection password="C71A" sheet="1"/>
  <customSheetViews>
    <customSheetView guid="{11D08DB2-E31A-4B7D-96E3-15D146D9C90A}" scale="120" state="hidden">
      <selection activeCell="E7" sqref="E7"/>
      <pageMargins left="0.7" right="0.7" top="0.75" bottom="0.75" header="0.3" footer="0.3"/>
      <pageSetup paperSize="9" orientation="portrait" r:id="rId1"/>
    </customSheetView>
    <customSheetView guid="{7D664F49-CBB3-4B83-A19B-05FCB4570C5D}" scale="120" state="hidden">
      <selection activeCell="E7" sqref="E7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4">
    <tabColor indexed="9"/>
  </sheetPr>
  <dimension ref="A15:H33"/>
  <sheetViews>
    <sheetView workbookViewId="0">
      <selection activeCell="O28" sqref="O28"/>
    </sheetView>
  </sheetViews>
  <sheetFormatPr defaultRowHeight="12.75"/>
  <cols>
    <col min="1" max="16384" width="9.140625" style="2"/>
  </cols>
  <sheetData>
    <row r="15" spans="1:8" ht="15">
      <c r="A15" s="8" t="s">
        <v>9</v>
      </c>
      <c r="B15" s="7"/>
      <c r="C15" s="7"/>
      <c r="D15" s="96" t="s">
        <v>140</v>
      </c>
      <c r="E15" s="97"/>
      <c r="F15" s="97"/>
      <c r="G15" s="97"/>
      <c r="H15" s="97"/>
    </row>
    <row r="16" spans="1:8">
      <c r="A16" s="95" t="s">
        <v>155</v>
      </c>
      <c r="B16" s="95"/>
      <c r="C16" s="95"/>
      <c r="D16" s="103" t="s">
        <v>122</v>
      </c>
      <c r="E16" s="103"/>
      <c r="F16" s="103"/>
      <c r="G16" s="103"/>
      <c r="H16" s="11">
        <f>_!D27</f>
        <v>82</v>
      </c>
    </row>
    <row r="18" spans="1:8">
      <c r="A18" s="8" t="s">
        <v>56</v>
      </c>
      <c r="B18" s="7"/>
      <c r="C18" s="7"/>
      <c r="D18" s="7"/>
      <c r="E18" s="7"/>
      <c r="F18" s="7"/>
      <c r="G18" s="7"/>
      <c r="H18" s="7"/>
    </row>
    <row r="19" spans="1:8">
      <c r="A19" s="95" t="s">
        <v>120</v>
      </c>
      <c r="B19" s="95"/>
      <c r="C19" s="95"/>
      <c r="D19" s="102" t="s">
        <v>121</v>
      </c>
      <c r="E19" s="102"/>
      <c r="F19" s="102"/>
      <c r="G19" s="102"/>
      <c r="H19" s="102"/>
    </row>
    <row r="20" spans="1:8">
      <c r="A20" s="95" t="s">
        <v>158</v>
      </c>
      <c r="B20" s="95"/>
      <c r="C20" s="95"/>
      <c r="D20" s="102" t="s">
        <v>159</v>
      </c>
      <c r="E20" s="102"/>
      <c r="F20" s="102"/>
      <c r="G20" s="102"/>
      <c r="H20" s="102"/>
    </row>
    <row r="21" spans="1:8">
      <c r="A21" s="95" t="s">
        <v>124</v>
      </c>
      <c r="B21" s="95"/>
      <c r="C21" s="95"/>
      <c r="D21" s="102" t="s">
        <v>125</v>
      </c>
      <c r="E21" s="102"/>
      <c r="F21" s="102"/>
      <c r="G21" s="102"/>
      <c r="H21" s="102"/>
    </row>
    <row r="23" spans="1:8">
      <c r="A23" s="1" t="s">
        <v>15</v>
      </c>
    </row>
    <row r="24" spans="1:8" ht="15">
      <c r="A24" s="95" t="s">
        <v>129</v>
      </c>
      <c r="B24" s="95"/>
      <c r="C24" s="95"/>
      <c r="D24" s="108"/>
      <c r="E24" s="87"/>
      <c r="F24" s="87"/>
      <c r="G24" s="87"/>
      <c r="H24" s="87"/>
    </row>
    <row r="25" spans="1:8" ht="15">
      <c r="A25" s="95" t="s">
        <v>53</v>
      </c>
      <c r="B25" s="95"/>
      <c r="C25" s="95"/>
      <c r="D25" s="108" t="s">
        <v>126</v>
      </c>
      <c r="E25" s="87"/>
      <c r="F25" s="87"/>
      <c r="G25" s="87"/>
      <c r="H25" s="87"/>
    </row>
    <row r="26" spans="1:8" ht="15">
      <c r="A26" s="95" t="s">
        <v>130</v>
      </c>
      <c r="B26" s="95"/>
      <c r="C26" s="95"/>
      <c r="D26" s="108"/>
      <c r="E26" s="87"/>
      <c r="F26" s="87"/>
      <c r="G26" s="87"/>
      <c r="H26" s="87"/>
    </row>
    <row r="28" spans="1:8">
      <c r="A28" s="1" t="s">
        <v>11</v>
      </c>
    </row>
    <row r="29" spans="1:8" ht="15">
      <c r="A29" s="92" t="s">
        <v>135</v>
      </c>
      <c r="B29" s="93"/>
      <c r="C29" s="94"/>
      <c r="D29" s="95" t="s">
        <v>57</v>
      </c>
      <c r="E29" s="100"/>
      <c r="F29" s="100"/>
      <c r="G29" s="87"/>
      <c r="H29" s="87"/>
    </row>
    <row r="30" spans="1:8" ht="15">
      <c r="A30" s="92" t="s">
        <v>136</v>
      </c>
      <c r="B30" s="98"/>
      <c r="C30" s="99"/>
      <c r="D30" s="95" t="s">
        <v>57</v>
      </c>
      <c r="E30" s="100"/>
      <c r="F30" s="100"/>
      <c r="G30" s="87"/>
      <c r="H30" s="87"/>
    </row>
    <row r="31" spans="1:8" ht="15">
      <c r="A31" s="92" t="s">
        <v>127</v>
      </c>
      <c r="B31" s="98"/>
      <c r="C31" s="99"/>
      <c r="D31" s="95" t="s">
        <v>57</v>
      </c>
      <c r="E31" s="100"/>
      <c r="F31" s="100"/>
      <c r="G31" s="87"/>
      <c r="H31" s="87"/>
    </row>
    <row r="32" spans="1:8" ht="15">
      <c r="A32" s="92" t="s">
        <v>137</v>
      </c>
      <c r="B32" s="98"/>
      <c r="C32" s="99"/>
      <c r="D32" s="95" t="s">
        <v>138</v>
      </c>
      <c r="E32" s="100"/>
      <c r="F32" s="100"/>
      <c r="G32" s="87"/>
      <c r="H32" s="87"/>
    </row>
    <row r="33" spans="1:8">
      <c r="A33" s="95" t="s">
        <v>157</v>
      </c>
      <c r="B33" s="95"/>
      <c r="C33" s="95"/>
      <c r="D33" s="102" t="s">
        <v>156</v>
      </c>
      <c r="E33" s="102"/>
      <c r="F33" s="102"/>
      <c r="G33" s="102"/>
      <c r="H33" s="102"/>
    </row>
  </sheetData>
  <sheetProtection password="C71A" sheet="1" objects="1" scenarios="1"/>
  <customSheetViews>
    <customSheetView guid="{11D08DB2-E31A-4B7D-96E3-15D146D9C90A}" state="hidden">
      <selection activeCell="O28" sqref="O28"/>
      <pageMargins left="0.75" right="0.75" top="1" bottom="1" header="0.5" footer="0.5"/>
      <pageSetup paperSize="9" orientation="portrait" verticalDpi="0" r:id="rId1"/>
      <headerFooter alignWithMargins="0"/>
    </customSheetView>
    <customSheetView guid="{7D664F49-CBB3-4B83-A19B-05FCB4570C5D}" state="hidden">
      <selection activeCell="O28" sqref="O28"/>
      <pageMargins left="0.75" right="0.75" top="1" bottom="1" header="0.5" footer="0.5"/>
      <pageSetup paperSize="9" orientation="portrait" verticalDpi="0" r:id="rId2"/>
      <headerFooter alignWithMargins="0"/>
    </customSheetView>
    <customSheetView guid="{20FA67BD-9BBC-4ED6-BBAA-373F6BCF607B}">
      <pageMargins left="0.75" right="0.75" top="1" bottom="1" header="0.5" footer="0.5"/>
      <pageSetup paperSize="9" orientation="portrait" verticalDpi="0" r:id="rId3"/>
      <headerFooter alignWithMargins="0"/>
    </customSheetView>
    <customSheetView guid="{830742FC-BE7F-4E27-BACB-C350DD8E1822}" showRuler="0">
      <pageMargins left="0.75" right="0.75" top="1" bottom="1" header="0.5" footer="0.5"/>
      <pageSetup paperSize="9" orientation="portrait" verticalDpi="0" r:id="rId4"/>
      <headerFooter alignWithMargins="0"/>
    </customSheetView>
  </customSheetViews>
  <mergeCells count="25">
    <mergeCell ref="D20:H20"/>
    <mergeCell ref="A30:C30"/>
    <mergeCell ref="D21:H21"/>
    <mergeCell ref="D24:H24"/>
    <mergeCell ref="A20:C20"/>
    <mergeCell ref="D26:H26"/>
    <mergeCell ref="A29:C29"/>
    <mergeCell ref="D29:H29"/>
    <mergeCell ref="A21:C21"/>
    <mergeCell ref="D15:H15"/>
    <mergeCell ref="A16:C16"/>
    <mergeCell ref="D16:G16"/>
    <mergeCell ref="A19:C19"/>
    <mergeCell ref="D19:H19"/>
    <mergeCell ref="A33:C33"/>
    <mergeCell ref="D33:H33"/>
    <mergeCell ref="A24:C24"/>
    <mergeCell ref="A25:C25"/>
    <mergeCell ref="A26:C26"/>
    <mergeCell ref="D32:H32"/>
    <mergeCell ref="D30:H30"/>
    <mergeCell ref="A32:C32"/>
    <mergeCell ref="D25:H25"/>
    <mergeCell ref="D31:H31"/>
    <mergeCell ref="A31:C31"/>
  </mergeCells>
  <phoneticPr fontId="2" type="noConversion"/>
  <pageMargins left="0.75" right="0.75" top="1" bottom="1" header="0.5" footer="0.5"/>
  <pageSetup paperSize="9" orientation="portrait" verticalDpi="0" r:id="rId5"/>
  <headerFooter alignWithMargins="0"/>
  <drawing r:id="rId6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5">
    <tabColor indexed="9"/>
  </sheetPr>
  <dimension ref="A1:U38"/>
  <sheetViews>
    <sheetView workbookViewId="0">
      <selection activeCell="H16" sqref="H16"/>
    </sheetView>
  </sheetViews>
  <sheetFormatPr defaultRowHeight="12.75"/>
  <cols>
    <col min="1" max="2" width="9.140625" style="2" customWidth="1"/>
    <col min="3" max="16384" width="9.140625" style="2"/>
  </cols>
  <sheetData>
    <row r="1" spans="1:21">
      <c r="R1" s="3"/>
      <c r="S1" s="3"/>
      <c r="T1" s="3"/>
      <c r="U1" s="3"/>
    </row>
    <row r="2" spans="1:21">
      <c r="R2" s="3"/>
      <c r="S2" s="3"/>
      <c r="T2" s="3"/>
      <c r="U2" s="3"/>
    </row>
    <row r="3" spans="1:21">
      <c r="R3" s="3"/>
      <c r="S3" s="3"/>
      <c r="T3" s="3"/>
      <c r="U3" s="3"/>
    </row>
    <row r="4" spans="1:21">
      <c r="R4" s="3"/>
      <c r="S4" s="3"/>
      <c r="T4" s="3"/>
      <c r="U4" s="3"/>
    </row>
    <row r="5" spans="1:21">
      <c r="R5" s="9"/>
      <c r="S5" s="3"/>
      <c r="T5" s="3"/>
      <c r="U5" s="3"/>
    </row>
    <row r="6" spans="1:21">
      <c r="R6" s="3"/>
      <c r="S6" s="3"/>
      <c r="T6" s="3"/>
      <c r="U6" s="3"/>
    </row>
    <row r="7" spans="1:21">
      <c r="R7" s="3"/>
      <c r="S7" s="3"/>
      <c r="T7" s="3"/>
      <c r="U7" s="3"/>
    </row>
    <row r="9" spans="1:21">
      <c r="A9" s="7"/>
      <c r="B9" s="7"/>
      <c r="C9" s="7"/>
      <c r="D9" s="7"/>
      <c r="E9" s="7"/>
      <c r="F9" s="7"/>
      <c r="G9" s="7"/>
      <c r="H9" s="7"/>
    </row>
    <row r="10" spans="1:21">
      <c r="A10" s="7"/>
      <c r="B10" s="7"/>
      <c r="C10" s="7"/>
      <c r="D10" s="7"/>
      <c r="E10" s="7"/>
      <c r="F10" s="7"/>
      <c r="G10" s="7"/>
      <c r="H10" s="7"/>
    </row>
    <row r="11" spans="1:21">
      <c r="A11" s="7"/>
      <c r="B11" s="7"/>
      <c r="C11" s="7"/>
      <c r="D11" s="7"/>
      <c r="E11" s="7"/>
      <c r="F11" s="7"/>
      <c r="G11" s="7"/>
      <c r="H11" s="7"/>
    </row>
    <row r="12" spans="1:21">
      <c r="A12" s="7"/>
      <c r="B12" s="7"/>
      <c r="C12" s="7"/>
      <c r="D12" s="7"/>
      <c r="E12" s="7"/>
      <c r="F12" s="7"/>
      <c r="G12" s="7"/>
      <c r="H12" s="7"/>
    </row>
    <row r="13" spans="1:21">
      <c r="A13" s="7"/>
      <c r="B13" s="7"/>
      <c r="C13" s="7"/>
      <c r="D13" s="7"/>
      <c r="E13" s="7"/>
      <c r="F13" s="7"/>
      <c r="G13" s="7"/>
      <c r="H13" s="7"/>
    </row>
    <row r="14" spans="1:21">
      <c r="A14" s="7"/>
      <c r="B14" s="7"/>
      <c r="C14" s="7"/>
      <c r="D14" s="7"/>
      <c r="E14" s="7"/>
      <c r="F14" s="7"/>
      <c r="G14" s="7"/>
      <c r="H14" s="7"/>
    </row>
    <row r="15" spans="1:21" ht="15">
      <c r="A15" s="8" t="s">
        <v>9</v>
      </c>
      <c r="B15" s="7"/>
      <c r="C15" s="7"/>
      <c r="D15" s="96" t="s">
        <v>140</v>
      </c>
      <c r="E15" s="97"/>
      <c r="F15" s="97"/>
      <c r="G15" s="97"/>
      <c r="H15" s="97"/>
    </row>
    <row r="16" spans="1:21">
      <c r="A16" s="92" t="s">
        <v>20</v>
      </c>
      <c r="B16" s="93"/>
      <c r="C16" s="94"/>
      <c r="D16" s="109"/>
      <c r="E16" s="110"/>
      <c r="F16" s="110"/>
      <c r="G16" s="111"/>
      <c r="H16" s="11">
        <f>_!D18</f>
        <v>221.51</v>
      </c>
    </row>
    <row r="17" spans="1:8">
      <c r="A17" s="7"/>
      <c r="B17" s="7"/>
      <c r="C17" s="7"/>
      <c r="D17" s="7"/>
      <c r="E17" s="7"/>
      <c r="F17" s="7"/>
      <c r="G17" s="7"/>
      <c r="H17" s="7"/>
    </row>
    <row r="18" spans="1:8">
      <c r="A18" s="8" t="s">
        <v>56</v>
      </c>
      <c r="B18" s="7"/>
      <c r="C18" s="7"/>
      <c r="D18" s="7"/>
      <c r="E18" s="7"/>
      <c r="F18" s="7"/>
      <c r="G18" s="7"/>
      <c r="H18" s="7"/>
    </row>
    <row r="19" spans="1:8">
      <c r="A19" s="92" t="s">
        <v>112</v>
      </c>
      <c r="B19" s="93"/>
      <c r="C19" s="94"/>
      <c r="D19" s="89">
        <v>0</v>
      </c>
      <c r="E19" s="90"/>
      <c r="F19" s="90"/>
      <c r="G19" s="90"/>
      <c r="H19" s="91"/>
    </row>
    <row r="20" spans="1:8">
      <c r="A20" s="92" t="s">
        <v>113</v>
      </c>
      <c r="B20" s="93"/>
      <c r="C20" s="94"/>
      <c r="D20" s="89">
        <v>4</v>
      </c>
      <c r="E20" s="90"/>
      <c r="F20" s="90"/>
      <c r="G20" s="90"/>
      <c r="H20" s="91"/>
    </row>
    <row r="21" spans="1:8">
      <c r="A21" s="92" t="s">
        <v>114</v>
      </c>
      <c r="B21" s="93"/>
      <c r="C21" s="94"/>
      <c r="D21" s="89">
        <v>0</v>
      </c>
      <c r="E21" s="90"/>
      <c r="F21" s="90"/>
      <c r="G21" s="90"/>
      <c r="H21" s="91"/>
    </row>
    <row r="22" spans="1:8">
      <c r="A22" s="92" t="s">
        <v>115</v>
      </c>
      <c r="B22" s="93"/>
      <c r="C22" s="94"/>
      <c r="D22" s="89">
        <v>4</v>
      </c>
      <c r="E22" s="90"/>
      <c r="F22" s="90"/>
      <c r="G22" s="90"/>
      <c r="H22" s="91"/>
    </row>
    <row r="23" spans="1:8">
      <c r="A23" s="92" t="s">
        <v>54</v>
      </c>
      <c r="B23" s="93"/>
      <c r="C23" s="94"/>
      <c r="D23" s="89" t="s">
        <v>62</v>
      </c>
      <c r="E23" s="90"/>
      <c r="F23" s="90"/>
      <c r="G23" s="90"/>
      <c r="H23" s="91"/>
    </row>
    <row r="24" spans="1:8">
      <c r="A24" s="92" t="s">
        <v>55</v>
      </c>
      <c r="B24" s="93"/>
      <c r="C24" s="94"/>
      <c r="D24" s="89" t="s">
        <v>105</v>
      </c>
      <c r="E24" s="90"/>
      <c r="F24" s="90"/>
      <c r="G24" s="90"/>
      <c r="H24" s="91"/>
    </row>
    <row r="25" spans="1:8">
      <c r="A25" s="92" t="s">
        <v>7</v>
      </c>
      <c r="B25" s="93"/>
      <c r="C25" s="94"/>
      <c r="D25" s="89" t="s">
        <v>102</v>
      </c>
      <c r="E25" s="90"/>
      <c r="F25" s="90"/>
      <c r="G25" s="90"/>
      <c r="H25" s="91"/>
    </row>
    <row r="26" spans="1:8">
      <c r="A26" s="4"/>
      <c r="B26" s="4"/>
      <c r="C26" s="7"/>
      <c r="D26" s="7"/>
      <c r="E26" s="7"/>
      <c r="F26" s="7"/>
      <c r="G26" s="7"/>
      <c r="H26" s="7"/>
    </row>
    <row r="27" spans="1:8">
      <c r="A27" s="104" t="s">
        <v>8</v>
      </c>
      <c r="B27" s="104"/>
      <c r="C27" s="104"/>
      <c r="D27" s="104"/>
      <c r="E27" s="7"/>
      <c r="F27" s="7"/>
      <c r="G27" s="7"/>
      <c r="H27" s="7"/>
    </row>
    <row r="28" spans="1:8">
      <c r="A28" s="105" t="s">
        <v>59</v>
      </c>
      <c r="B28" s="106"/>
      <c r="C28" s="107"/>
      <c r="D28" s="105" t="s">
        <v>103</v>
      </c>
      <c r="E28" s="106"/>
      <c r="F28" s="106"/>
      <c r="G28" s="106"/>
      <c r="H28" s="107"/>
    </row>
    <row r="29" spans="1:8" ht="12.75" customHeight="1">
      <c r="A29" s="112"/>
      <c r="B29" s="113"/>
      <c r="C29" s="114"/>
      <c r="D29" s="112"/>
      <c r="E29" s="113"/>
      <c r="F29" s="113"/>
      <c r="G29" s="113"/>
      <c r="H29" s="114"/>
    </row>
    <row r="30" spans="1:8" ht="12.75" customHeight="1">
      <c r="A30" s="105" t="s">
        <v>110</v>
      </c>
      <c r="B30" s="106"/>
      <c r="C30" s="107"/>
      <c r="D30" s="105" t="s">
        <v>14</v>
      </c>
      <c r="E30" s="106"/>
      <c r="F30" s="106"/>
      <c r="G30" s="106"/>
      <c r="H30" s="107"/>
    </row>
    <row r="31" spans="1:8" ht="12.75" customHeight="1">
      <c r="A31" s="112"/>
      <c r="B31" s="113"/>
      <c r="C31" s="114"/>
      <c r="D31" s="112"/>
      <c r="E31" s="113"/>
      <c r="F31" s="113"/>
      <c r="G31" s="113"/>
      <c r="H31" s="114"/>
    </row>
    <row r="32" spans="1:8" ht="12.75" customHeight="1">
      <c r="A32" s="4"/>
      <c r="B32" s="4"/>
      <c r="C32" s="7"/>
      <c r="D32" s="7"/>
      <c r="E32" s="7"/>
      <c r="F32" s="7"/>
      <c r="G32" s="7"/>
      <c r="H32" s="7"/>
    </row>
    <row r="33" spans="1:8">
      <c r="A33" s="104" t="s">
        <v>10</v>
      </c>
      <c r="B33" s="104"/>
      <c r="C33" s="104"/>
      <c r="D33" s="104"/>
      <c r="E33" s="7"/>
      <c r="F33" s="7"/>
      <c r="G33" s="7"/>
      <c r="H33" s="7"/>
    </row>
    <row r="34" spans="1:8">
      <c r="A34" s="105" t="s">
        <v>60</v>
      </c>
      <c r="B34" s="106"/>
      <c r="C34" s="107"/>
      <c r="D34" s="105" t="s">
        <v>61</v>
      </c>
      <c r="E34" s="106"/>
      <c r="F34" s="106"/>
      <c r="G34" s="106"/>
      <c r="H34" s="107"/>
    </row>
    <row r="35" spans="1:8" ht="12.75" customHeight="1">
      <c r="A35" s="112"/>
      <c r="B35" s="113"/>
      <c r="C35" s="114"/>
      <c r="D35" s="112"/>
      <c r="E35" s="113"/>
      <c r="F35" s="113"/>
      <c r="G35" s="113"/>
      <c r="H35" s="114"/>
    </row>
    <row r="36" spans="1:8" ht="12.75" customHeight="1">
      <c r="A36" s="92" t="s">
        <v>111</v>
      </c>
      <c r="B36" s="93"/>
      <c r="C36" s="94"/>
      <c r="D36" s="109" t="s">
        <v>17</v>
      </c>
      <c r="E36" s="110"/>
      <c r="F36" s="110"/>
      <c r="G36" s="110"/>
      <c r="H36" s="111"/>
    </row>
    <row r="37" spans="1:8" ht="15" customHeight="1">
      <c r="A37" s="92" t="s">
        <v>58</v>
      </c>
      <c r="B37" s="93"/>
      <c r="C37" s="94"/>
      <c r="D37" s="92" t="s">
        <v>12</v>
      </c>
      <c r="E37" s="93"/>
      <c r="F37" s="93"/>
      <c r="G37" s="93"/>
      <c r="H37" s="94"/>
    </row>
    <row r="38" spans="1:8" ht="15" customHeight="1">
      <c r="A38" s="4"/>
      <c r="B38" s="4"/>
      <c r="C38" s="7"/>
      <c r="D38" s="7"/>
      <c r="E38" s="7"/>
      <c r="F38" s="7"/>
      <c r="G38" s="7"/>
      <c r="H38" s="7"/>
    </row>
  </sheetData>
  <sheetProtection password="C71A" sheet="1" objects="1" scenarios="1"/>
  <customSheetViews>
    <customSheetView guid="{11D08DB2-E31A-4B7D-96E3-15D146D9C90A}" state="hidden">
      <selection activeCell="H16" sqref="H16"/>
      <pageMargins left="0.75" right="0.75" top="1" bottom="1" header="0.5" footer="0.5"/>
      <pageSetup paperSize="9" orientation="portrait" verticalDpi="0" r:id="rId1"/>
      <headerFooter alignWithMargins="0"/>
    </customSheetView>
    <customSheetView guid="{7D664F49-CBB3-4B83-A19B-05FCB4570C5D}" state="hidden">
      <selection activeCell="H16" sqref="H16"/>
      <pageMargins left="0.75" right="0.75" top="1" bottom="1" header="0.5" footer="0.5"/>
      <pageSetup paperSize="9" orientation="portrait" verticalDpi="0" r:id="rId2"/>
      <headerFooter alignWithMargins="0"/>
    </customSheetView>
    <customSheetView guid="{20FA67BD-9BBC-4ED6-BBAA-373F6BCF607B}">
      <pageMargins left="0.75" right="0.75" top="1" bottom="1" header="0.5" footer="0.5"/>
      <pageSetup paperSize="9" orientation="portrait" verticalDpi="0" r:id="rId3"/>
      <headerFooter alignWithMargins="0"/>
    </customSheetView>
    <customSheetView guid="{830742FC-BE7F-4E27-BACB-C350DD8E1822}" showRuler="0">
      <pageMargins left="0.75" right="0.75" top="1" bottom="1" header="0.5" footer="0.5"/>
      <pageSetup paperSize="9" orientation="portrait" verticalDpi="0" r:id="rId4"/>
      <headerFooter alignWithMargins="0"/>
    </customSheetView>
  </customSheetViews>
  <mergeCells count="29">
    <mergeCell ref="D28:H29"/>
    <mergeCell ref="A28:C29"/>
    <mergeCell ref="A37:C37"/>
    <mergeCell ref="D37:H37"/>
    <mergeCell ref="A33:D33"/>
    <mergeCell ref="D34:H35"/>
    <mergeCell ref="A34:C35"/>
    <mergeCell ref="D30:H31"/>
    <mergeCell ref="A30:C31"/>
    <mergeCell ref="A36:C36"/>
    <mergeCell ref="D36:H36"/>
    <mergeCell ref="A24:C24"/>
    <mergeCell ref="D24:H24"/>
    <mergeCell ref="A27:D27"/>
    <mergeCell ref="A25:C25"/>
    <mergeCell ref="D25:H25"/>
    <mergeCell ref="A21:C21"/>
    <mergeCell ref="D21:H21"/>
    <mergeCell ref="A22:C22"/>
    <mergeCell ref="D22:H22"/>
    <mergeCell ref="A23:C23"/>
    <mergeCell ref="D23:H23"/>
    <mergeCell ref="A20:C20"/>
    <mergeCell ref="D20:H20"/>
    <mergeCell ref="D15:H15"/>
    <mergeCell ref="A16:C16"/>
    <mergeCell ref="D16:G16"/>
    <mergeCell ref="A19:C19"/>
    <mergeCell ref="D19:H19"/>
  </mergeCells>
  <phoneticPr fontId="2" type="noConversion"/>
  <pageMargins left="0.75" right="0.75" top="1" bottom="1" header="0.5" footer="0.5"/>
  <pageSetup paperSize="9" orientation="portrait" verticalDpi="0" r:id="rId5"/>
  <headerFooter alignWithMargins="0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13">
    <tabColor indexed="9"/>
  </sheetPr>
  <dimension ref="A1:Q501"/>
  <sheetViews>
    <sheetView tabSelected="1" workbookViewId="0">
      <selection activeCell="P20" sqref="P20"/>
    </sheetView>
  </sheetViews>
  <sheetFormatPr defaultRowHeight="15"/>
  <cols>
    <col min="1" max="16384" width="9.140625" style="5"/>
  </cols>
  <sheetData>
    <row r="1" spans="1:10" ht="12.75" customHeight="1"/>
    <row r="2" spans="1:10" ht="12.75" customHeight="1"/>
    <row r="3" spans="1:10" ht="12.75" customHeight="1"/>
    <row r="4" spans="1:10" ht="12.75" customHeight="1"/>
    <row r="5" spans="1:10" ht="12.75" customHeight="1"/>
    <row r="6" spans="1:10" ht="12.75" customHeight="1"/>
    <row r="7" spans="1:10" ht="12.75" customHeight="1"/>
    <row r="8" spans="1:10" ht="12.75" customHeight="1"/>
    <row r="9" spans="1:10" ht="12.75" customHeight="1"/>
    <row r="10" spans="1:10" ht="12.75" customHeight="1"/>
    <row r="11" spans="1:10" ht="12.75" customHeight="1"/>
    <row r="12" spans="1:10" ht="12.75" customHeight="1"/>
    <row r="13" spans="1:10" ht="12.75" customHeight="1"/>
    <row r="14" spans="1:10" ht="12.75" customHeight="1">
      <c r="E14" s="96" t="s">
        <v>140</v>
      </c>
      <c r="F14" s="97"/>
      <c r="G14" s="97"/>
      <c r="H14" s="97"/>
      <c r="I14" s="97"/>
    </row>
    <row r="15" spans="1:10" ht="12.75" customHeight="1">
      <c r="A15" s="8" t="s">
        <v>9</v>
      </c>
      <c r="B15" s="7"/>
      <c r="C15" s="7"/>
      <c r="H15" s="130">
        <f>_!F117</f>
        <v>267.560496</v>
      </c>
      <c r="I15" s="131"/>
    </row>
    <row r="16" spans="1:10" ht="12.75" customHeight="1">
      <c r="A16" s="133" t="s">
        <v>4</v>
      </c>
      <c r="B16" s="120">
        <f>LOOKUP(_!E74,_!A75:A79,_!C75:C79)</f>
        <v>1</v>
      </c>
      <c r="C16" s="120">
        <f>LOOKUP(_!E80,_!A81:A86,_!C81:C86)</f>
        <v>2</v>
      </c>
      <c r="D16" s="120">
        <f>LOOKUP(_!E103,_!A104:A105,_!C104:C105)</f>
        <v>2</v>
      </c>
      <c r="E16" s="120">
        <f>LOOKUP(_!E106,_!A107:A108,_!C107:C108)</f>
        <v>1</v>
      </c>
      <c r="F16" s="120" t="s">
        <v>16</v>
      </c>
      <c r="G16" s="120" t="str">
        <f>LOOKUP(_!E109,_!A110:A111,_!C110:C111)</f>
        <v>01</v>
      </c>
      <c r="H16" s="120" t="s">
        <v>16</v>
      </c>
      <c r="I16" s="120">
        <f>LOOKUP(_!E112,_!A113:A116,_!C113:C116)</f>
        <v>5</v>
      </c>
      <c r="J16" s="120"/>
    </row>
    <row r="17" spans="1:17" ht="12.75" customHeight="1">
      <c r="A17" s="133"/>
      <c r="B17" s="132"/>
      <c r="C17" s="122"/>
      <c r="D17" s="122"/>
      <c r="E17" s="122"/>
      <c r="F17" s="120"/>
      <c r="G17" s="122"/>
      <c r="H17" s="120"/>
      <c r="I17" s="132"/>
      <c r="J17" s="120"/>
    </row>
    <row r="18" spans="1:17" ht="12.75" customHeight="1">
      <c r="A18" s="8" t="s">
        <v>56</v>
      </c>
    </row>
    <row r="19" spans="1:17" ht="12.75" customHeight="1">
      <c r="A19" s="118" t="s">
        <v>13</v>
      </c>
      <c r="B19" s="118"/>
      <c r="C19" s="118"/>
      <c r="D19" s="101"/>
      <c r="E19" s="123"/>
      <c r="F19" s="123"/>
      <c r="G19" s="124"/>
    </row>
    <row r="20" spans="1:17" ht="12.75" customHeight="1">
      <c r="A20" s="121"/>
      <c r="B20" s="121"/>
      <c r="C20" s="121"/>
      <c r="D20" s="125"/>
      <c r="E20" s="88"/>
      <c r="F20" s="88"/>
      <c r="G20" s="126"/>
    </row>
    <row r="21" spans="1:17" ht="12.75" customHeight="1">
      <c r="A21" s="121"/>
      <c r="B21" s="121"/>
      <c r="C21" s="121"/>
      <c r="D21" s="125"/>
      <c r="E21" s="88"/>
      <c r="F21" s="88"/>
      <c r="G21" s="126"/>
    </row>
    <row r="22" spans="1:17" ht="12.75" customHeight="1">
      <c r="A22" s="121"/>
      <c r="B22" s="121"/>
      <c r="C22" s="121"/>
      <c r="D22" s="127"/>
      <c r="E22" s="128"/>
      <c r="F22" s="128"/>
      <c r="G22" s="129"/>
    </row>
    <row r="23" spans="1:17" ht="12.75" customHeight="1">
      <c r="A23" s="118" t="s">
        <v>78</v>
      </c>
      <c r="B23" s="118"/>
      <c r="C23" s="118"/>
      <c r="D23" s="101"/>
      <c r="E23" s="123"/>
      <c r="F23" s="123"/>
      <c r="G23" s="124"/>
    </row>
    <row r="24" spans="1:17" ht="12.75" customHeight="1">
      <c r="A24" s="121"/>
      <c r="B24" s="121"/>
      <c r="C24" s="121"/>
      <c r="D24" s="125"/>
      <c r="E24" s="88"/>
      <c r="F24" s="88"/>
      <c r="G24" s="126"/>
    </row>
    <row r="25" spans="1:17" ht="12.75" customHeight="1">
      <c r="A25" s="121"/>
      <c r="B25" s="121"/>
      <c r="C25" s="121"/>
      <c r="D25" s="127"/>
      <c r="E25" s="128"/>
      <c r="F25" s="128"/>
      <c r="G25" s="129"/>
    </row>
    <row r="26" spans="1:17" ht="12.75" customHeight="1">
      <c r="A26" s="118" t="s">
        <v>5</v>
      </c>
      <c r="B26" s="118"/>
      <c r="C26" s="118"/>
      <c r="D26" s="102">
        <f>LOOKUP(_!E80,_!A95:A100,_!C95:C100)</f>
        <v>10</v>
      </c>
      <c r="E26" s="102"/>
      <c r="F26" s="102"/>
      <c r="G26" s="102"/>
    </row>
    <row r="27" spans="1:17" ht="12.75" customHeight="1">
      <c r="A27" s="118"/>
      <c r="B27" s="119"/>
      <c r="C27" s="119"/>
      <c r="D27" s="102"/>
      <c r="E27" s="102"/>
      <c r="F27" s="102"/>
      <c r="G27" s="102"/>
    </row>
    <row r="28" spans="1:17" ht="12.75" customHeight="1">
      <c r="A28" s="118" t="s">
        <v>6</v>
      </c>
      <c r="B28" s="118"/>
      <c r="C28" s="118"/>
      <c r="D28" s="102" t="s">
        <v>67</v>
      </c>
      <c r="E28" s="102"/>
      <c r="F28" s="102"/>
      <c r="G28" s="102"/>
    </row>
    <row r="29" spans="1:17" ht="12.75" customHeight="1">
      <c r="A29" s="118"/>
      <c r="B29" s="119"/>
      <c r="C29" s="119"/>
      <c r="D29" s="102"/>
      <c r="E29" s="102"/>
      <c r="F29" s="102"/>
      <c r="G29" s="102"/>
      <c r="I29" s="6"/>
      <c r="J29" s="6"/>
      <c r="K29" s="6"/>
      <c r="L29" s="6"/>
      <c r="M29" s="6"/>
      <c r="N29" s="6"/>
      <c r="O29" s="6"/>
      <c r="P29" s="6"/>
      <c r="Q29" s="6"/>
    </row>
    <row r="30" spans="1:17" ht="12.75" customHeight="1">
      <c r="A30" s="118" t="s">
        <v>66</v>
      </c>
      <c r="B30" s="118"/>
      <c r="C30" s="118"/>
      <c r="D30" s="102" t="str">
        <f>LOOKUP(_!E80,_!A88:A93,_!B88:B93)</f>
        <v>Eeprom</v>
      </c>
      <c r="E30" s="102"/>
      <c r="F30" s="102"/>
      <c r="G30" s="102"/>
      <c r="I30" s="6"/>
      <c r="J30" s="6"/>
      <c r="K30" s="6"/>
      <c r="L30" s="6"/>
      <c r="M30" s="6"/>
      <c r="N30" s="6"/>
      <c r="O30" s="6"/>
      <c r="P30" s="6"/>
      <c r="Q30" s="6"/>
    </row>
    <row r="31" spans="1:17" ht="12.75" customHeight="1">
      <c r="A31" s="118"/>
      <c r="B31" s="119"/>
      <c r="C31" s="119"/>
      <c r="D31" s="102"/>
      <c r="E31" s="102"/>
      <c r="F31" s="102"/>
      <c r="G31" s="102"/>
      <c r="I31" s="6"/>
      <c r="J31" s="6"/>
      <c r="K31" s="6"/>
      <c r="L31" s="6"/>
      <c r="M31" s="6"/>
      <c r="N31" s="6"/>
      <c r="O31" s="6"/>
      <c r="P31" s="6"/>
      <c r="Q31" s="6"/>
    </row>
    <row r="32" spans="1:17" ht="12.75" customHeight="1">
      <c r="A32" s="118" t="s">
        <v>54</v>
      </c>
      <c r="B32" s="118"/>
      <c r="C32" s="118"/>
      <c r="D32" s="102"/>
      <c r="E32" s="102"/>
      <c r="F32" s="102"/>
      <c r="G32" s="102"/>
      <c r="I32" s="10"/>
      <c r="J32" s="10"/>
      <c r="K32" s="10"/>
      <c r="L32" s="10"/>
      <c r="M32" s="10"/>
      <c r="N32" s="6"/>
      <c r="O32" s="6"/>
      <c r="P32" s="6"/>
      <c r="Q32" s="6"/>
    </row>
    <row r="33" spans="1:17" ht="12.75" customHeight="1">
      <c r="A33" s="118"/>
      <c r="B33" s="119"/>
      <c r="C33" s="119"/>
      <c r="D33" s="102"/>
      <c r="E33" s="102"/>
      <c r="F33" s="102"/>
      <c r="G33" s="102"/>
      <c r="I33" s="10"/>
      <c r="J33" s="10"/>
      <c r="K33" s="10"/>
      <c r="L33" s="10"/>
      <c r="M33" s="10"/>
      <c r="N33" s="6"/>
      <c r="O33" s="6"/>
      <c r="P33" s="6"/>
      <c r="Q33" s="6"/>
    </row>
    <row r="34" spans="1:17" ht="12.75" customHeight="1">
      <c r="A34" s="118" t="s">
        <v>64</v>
      </c>
      <c r="B34" s="119"/>
      <c r="C34" s="119"/>
      <c r="D34" s="102"/>
      <c r="E34" s="102"/>
      <c r="F34" s="102"/>
      <c r="G34" s="102"/>
      <c r="I34" s="10"/>
      <c r="J34" s="10"/>
      <c r="K34" s="10"/>
      <c r="L34" s="10"/>
      <c r="M34" s="10"/>
      <c r="N34" s="6"/>
      <c r="O34" s="6"/>
      <c r="P34" s="6"/>
      <c r="Q34" s="6"/>
    </row>
    <row r="35" spans="1:17" ht="12.75" customHeight="1">
      <c r="A35" s="118"/>
      <c r="B35" s="119"/>
      <c r="C35" s="119"/>
      <c r="D35" s="102"/>
      <c r="E35" s="102"/>
      <c r="F35" s="102"/>
      <c r="G35" s="102"/>
      <c r="I35" s="10"/>
      <c r="J35" s="10"/>
      <c r="K35" s="10"/>
      <c r="L35" s="10"/>
      <c r="M35" s="10"/>
      <c r="N35" s="6"/>
      <c r="O35" s="6"/>
      <c r="P35" s="6"/>
      <c r="Q35" s="6"/>
    </row>
    <row r="36" spans="1:17" ht="12.75" customHeight="1">
      <c r="A36" s="118" t="s">
        <v>65</v>
      </c>
      <c r="B36" s="119"/>
      <c r="C36" s="119"/>
      <c r="D36" s="102"/>
      <c r="E36" s="102"/>
      <c r="F36" s="102"/>
      <c r="G36" s="102"/>
      <c r="I36" s="10"/>
      <c r="J36" s="10"/>
      <c r="K36" s="10"/>
      <c r="L36" s="10"/>
      <c r="M36" s="10"/>
      <c r="N36" s="6"/>
      <c r="O36" s="6"/>
      <c r="P36" s="6"/>
      <c r="Q36" s="6"/>
    </row>
    <row r="37" spans="1:17" ht="12.75" customHeight="1">
      <c r="A37" s="118"/>
      <c r="B37" s="119"/>
      <c r="C37" s="119"/>
      <c r="D37" s="102"/>
      <c r="E37" s="102"/>
      <c r="F37" s="102"/>
      <c r="G37" s="102"/>
      <c r="I37" s="10"/>
      <c r="J37" s="10"/>
      <c r="K37" s="10"/>
      <c r="L37" s="10"/>
      <c r="M37" s="10"/>
      <c r="N37" s="6"/>
      <c r="O37" s="6"/>
      <c r="P37" s="6"/>
      <c r="Q37" s="6"/>
    </row>
    <row r="38" spans="1:17" ht="12.75" customHeight="1">
      <c r="A38" s="118" t="s">
        <v>85</v>
      </c>
      <c r="B38" s="119"/>
      <c r="C38" s="119"/>
      <c r="D38" s="102"/>
      <c r="E38" s="102"/>
      <c r="F38" s="102"/>
      <c r="G38" s="102"/>
      <c r="I38" s="10"/>
      <c r="J38" s="10"/>
      <c r="K38" s="10"/>
      <c r="L38" s="10"/>
      <c r="M38" s="10"/>
      <c r="N38" s="6"/>
      <c r="O38" s="6"/>
      <c r="P38" s="6"/>
      <c r="Q38" s="6"/>
    </row>
    <row r="39" spans="1:17" ht="12.75" customHeight="1">
      <c r="A39" s="116"/>
      <c r="B39" s="117"/>
      <c r="C39" s="117"/>
      <c r="D39" s="115"/>
      <c r="E39" s="115"/>
      <c r="F39" s="115"/>
      <c r="G39" s="115"/>
      <c r="H39" s="6"/>
      <c r="I39" s="10"/>
      <c r="J39" s="10"/>
      <c r="K39" s="10"/>
      <c r="L39" s="10"/>
      <c r="M39" s="10"/>
      <c r="N39" s="6"/>
      <c r="O39" s="6"/>
      <c r="P39" s="6"/>
      <c r="Q39" s="6"/>
    </row>
    <row r="40" spans="1:17" ht="12.75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6"/>
      <c r="O40" s="6"/>
      <c r="P40" s="6"/>
      <c r="Q40" s="6"/>
    </row>
    <row r="41" spans="1:17" ht="12.75" customHeight="1">
      <c r="I41" s="6"/>
      <c r="J41" s="6"/>
      <c r="K41" s="6"/>
      <c r="L41" s="6"/>
      <c r="M41" s="6"/>
      <c r="N41" s="6"/>
      <c r="O41" s="6"/>
      <c r="P41" s="6"/>
      <c r="Q41" s="6"/>
    </row>
    <row r="42" spans="1:17" ht="12.75" customHeight="1">
      <c r="I42" s="6"/>
      <c r="J42" s="6"/>
      <c r="K42" s="6"/>
      <c r="L42" s="6"/>
      <c r="M42" s="6"/>
      <c r="N42" s="6"/>
      <c r="O42" s="6"/>
      <c r="P42" s="6"/>
      <c r="Q42" s="6"/>
    </row>
    <row r="43" spans="1:17" ht="12.75" customHeight="1">
      <c r="I43" s="6"/>
      <c r="J43" s="6"/>
      <c r="K43" s="6"/>
      <c r="L43" s="6"/>
      <c r="M43" s="6"/>
      <c r="N43" s="6"/>
      <c r="O43" s="6"/>
      <c r="P43" s="6"/>
      <c r="Q43" s="6"/>
    </row>
    <row r="44" spans="1:17" ht="12.75" customHeight="1">
      <c r="I44" s="6"/>
      <c r="J44" s="6"/>
      <c r="K44" s="6"/>
      <c r="L44" s="6"/>
      <c r="M44" s="6"/>
      <c r="N44" s="6"/>
      <c r="O44" s="6"/>
      <c r="P44" s="6"/>
      <c r="Q44" s="6"/>
    </row>
    <row r="45" spans="1:17" ht="12.75" customHeight="1"/>
    <row r="46" spans="1:17" ht="12.75" customHeight="1"/>
    <row r="47" spans="1:17" ht="12.75" customHeight="1"/>
    <row r="48" spans="1:17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</sheetData>
  <sheetProtection password="C71A" sheet="1" objects="1" scenarios="1"/>
  <customSheetViews>
    <customSheetView guid="{11D08DB2-E31A-4B7D-96E3-15D146D9C90A}">
      <selection activeCell="J23" sqref="J23"/>
      <pageMargins left="0.75" right="0.75" top="1" bottom="1" header="0.5" footer="0.5"/>
      <pageSetup paperSize="9" orientation="portrait" verticalDpi="0" r:id="rId1"/>
      <headerFooter alignWithMargins="0"/>
    </customSheetView>
    <customSheetView guid="{7D664F49-CBB3-4B83-A19B-05FCB4570C5D}">
      <selection activeCell="J23" sqref="J23"/>
      <pageMargins left="0.75" right="0.75" top="1" bottom="1" header="0.5" footer="0.5"/>
      <pageSetup paperSize="9" orientation="portrait" verticalDpi="0" r:id="rId2"/>
      <headerFooter alignWithMargins="0"/>
    </customSheetView>
    <customSheetView guid="{20FA67BD-9BBC-4ED6-BBAA-373F6BCF607B}">
      <selection activeCell="G16" sqref="G16:G17"/>
      <pageMargins left="0.75" right="0.75" top="1" bottom="1" header="0.5" footer="0.5"/>
      <pageSetup paperSize="9" orientation="portrait" verticalDpi="0" r:id="rId3"/>
      <headerFooter alignWithMargins="0"/>
    </customSheetView>
    <customSheetView guid="{830742FC-BE7F-4E27-BACB-C350DD8E1822}" showRuler="0">
      <selection activeCell="L38" sqref="L38"/>
      <pageMargins left="0.75" right="0.75" top="1" bottom="1" header="0.5" footer="0.5"/>
      <pageSetup paperSize="9" orientation="portrait" verticalDpi="0" r:id="rId4"/>
      <headerFooter alignWithMargins="0"/>
    </customSheetView>
  </customSheetViews>
  <mergeCells count="44">
    <mergeCell ref="E14:I14"/>
    <mergeCell ref="H15:I15"/>
    <mergeCell ref="A26:C26"/>
    <mergeCell ref="B16:B17"/>
    <mergeCell ref="A16:A17"/>
    <mergeCell ref="I16:I17"/>
    <mergeCell ref="G16:G17"/>
    <mergeCell ref="E16:E17"/>
    <mergeCell ref="D31:G31"/>
    <mergeCell ref="D33:G33"/>
    <mergeCell ref="J16:J17"/>
    <mergeCell ref="F16:F17"/>
    <mergeCell ref="A31:C31"/>
    <mergeCell ref="A33:C33"/>
    <mergeCell ref="A23:C25"/>
    <mergeCell ref="A27:C27"/>
    <mergeCell ref="A19:C22"/>
    <mergeCell ref="D27:G27"/>
    <mergeCell ref="D16:D17"/>
    <mergeCell ref="C16:C17"/>
    <mergeCell ref="H16:H17"/>
    <mergeCell ref="D26:G26"/>
    <mergeCell ref="D19:G22"/>
    <mergeCell ref="D23:G25"/>
    <mergeCell ref="A28:C28"/>
    <mergeCell ref="A30:C30"/>
    <mergeCell ref="D30:G30"/>
    <mergeCell ref="D28:G28"/>
    <mergeCell ref="A29:C29"/>
    <mergeCell ref="D29:G29"/>
    <mergeCell ref="D35:G35"/>
    <mergeCell ref="A39:C39"/>
    <mergeCell ref="D39:G39"/>
    <mergeCell ref="D38:G38"/>
    <mergeCell ref="D32:G32"/>
    <mergeCell ref="D37:G37"/>
    <mergeCell ref="A32:C32"/>
    <mergeCell ref="A34:C34"/>
    <mergeCell ref="A36:C36"/>
    <mergeCell ref="A38:C38"/>
    <mergeCell ref="A37:C37"/>
    <mergeCell ref="A35:C35"/>
    <mergeCell ref="D34:G34"/>
    <mergeCell ref="D36:G36"/>
  </mergeCells>
  <phoneticPr fontId="2" type="noConversion"/>
  <pageMargins left="0.75" right="0.75" top="1" bottom="1" header="0.5" footer="0.5"/>
  <pageSetup paperSize="9" orientation="portrait" verticalDpi="0" r:id="rId5"/>
  <headerFooter alignWithMargins="0"/>
  <drawing r:id="rId6"/>
  <legacyDrawing r:id="rId7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15"/>
  <dimension ref="A1:AG293"/>
  <sheetViews>
    <sheetView zoomScale="85" zoomScaleNormal="85" workbookViewId="0">
      <selection activeCell="V5" sqref="V5"/>
    </sheetView>
  </sheetViews>
  <sheetFormatPr defaultRowHeight="15"/>
  <cols>
    <col min="1" max="1" width="28.7109375" style="38" customWidth="1"/>
    <col min="2" max="2" width="21.42578125" style="38" customWidth="1"/>
    <col min="3" max="3" width="5.7109375" style="38" customWidth="1"/>
    <col min="4" max="4" width="13.7109375" style="38" customWidth="1"/>
    <col min="5" max="6" width="9.28515625" style="38" bestFit="1" customWidth="1"/>
    <col min="7" max="21" width="9.140625" style="38"/>
    <col min="22" max="22" width="42.7109375" style="38" customWidth="1"/>
    <col min="23" max="16384" width="9.140625" style="38"/>
  </cols>
  <sheetData>
    <row r="1" spans="1:23">
      <c r="A1" s="38" t="s">
        <v>96</v>
      </c>
      <c r="B1" s="38" t="s">
        <v>99</v>
      </c>
      <c r="E1" s="39"/>
      <c r="F1" s="39"/>
    </row>
    <row r="2" spans="1:23">
      <c r="A2" s="38" t="s">
        <v>97</v>
      </c>
      <c r="B2" s="38" t="s">
        <v>100</v>
      </c>
      <c r="E2" s="39"/>
      <c r="F2" s="39"/>
    </row>
    <row r="3" spans="1:23">
      <c r="A3" s="38" t="s">
        <v>98</v>
      </c>
      <c r="B3" s="38" t="s">
        <v>101</v>
      </c>
      <c r="E3" s="39"/>
      <c r="F3" s="39"/>
    </row>
    <row r="4" spans="1:23">
      <c r="E4" s="39"/>
      <c r="F4" s="39"/>
    </row>
    <row r="5" spans="1:23">
      <c r="A5" s="38" t="s">
        <v>123</v>
      </c>
      <c r="C5" s="38" t="e">
        <f>((100-#REF!)/100)</f>
        <v>#REF!</v>
      </c>
      <c r="D5" s="38" t="s">
        <v>95</v>
      </c>
      <c r="E5" s="39"/>
      <c r="F5" s="39"/>
    </row>
    <row r="6" spans="1:23">
      <c r="E6" s="39"/>
      <c r="F6" s="39"/>
    </row>
    <row r="7" spans="1:23">
      <c r="A7" s="40" t="s">
        <v>0</v>
      </c>
      <c r="B7" s="40"/>
      <c r="C7" s="40"/>
      <c r="D7" s="41"/>
      <c r="E7" s="42"/>
      <c r="F7" s="42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</row>
    <row r="8" spans="1:23">
      <c r="A8" s="43" t="s">
        <v>148</v>
      </c>
      <c r="B8" s="43"/>
      <c r="C8" s="43"/>
      <c r="D8" s="44">
        <v>225</v>
      </c>
      <c r="E8" s="44"/>
      <c r="F8" s="45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</row>
    <row r="9" spans="1:23">
      <c r="A9" s="43" t="s">
        <v>151</v>
      </c>
      <c r="B9" s="43"/>
      <c r="C9" s="43"/>
      <c r="D9" s="44">
        <v>227</v>
      </c>
      <c r="E9" s="44"/>
      <c r="F9" s="45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</row>
    <row r="10" spans="1:23">
      <c r="A10" s="43" t="s">
        <v>149</v>
      </c>
      <c r="B10" s="43"/>
      <c r="C10" s="43"/>
      <c r="D10" s="44">
        <v>285</v>
      </c>
      <c r="E10" s="44"/>
      <c r="F10" s="45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</row>
    <row r="11" spans="1:23">
      <c r="A11" s="43" t="s">
        <v>150</v>
      </c>
      <c r="B11" s="43"/>
      <c r="C11" s="43"/>
      <c r="D11" s="44">
        <v>287</v>
      </c>
      <c r="E11" s="44"/>
      <c r="F11" s="45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</row>
    <row r="12" spans="1:23">
      <c r="A12" s="43" t="s">
        <v>53</v>
      </c>
      <c r="B12" s="43"/>
      <c r="C12" s="43"/>
      <c r="D12" s="44">
        <f>1.3*275.93</f>
        <v>358.709</v>
      </c>
      <c r="E12" s="44"/>
      <c r="F12" s="45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</row>
    <row r="13" spans="1:23">
      <c r="A13" s="46" t="s">
        <v>107</v>
      </c>
      <c r="B13" s="43"/>
      <c r="C13" s="43"/>
      <c r="D13" s="44">
        <f>1.3*256.03</f>
        <v>332.839</v>
      </c>
      <c r="E13" s="44"/>
      <c r="F13" s="45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</row>
    <row r="14" spans="1:23">
      <c r="A14" s="46" t="s">
        <v>131</v>
      </c>
      <c r="B14" s="43"/>
      <c r="C14" s="43"/>
      <c r="D14" s="44">
        <f>1.3*323.41</f>
        <v>420.43300000000005</v>
      </c>
      <c r="E14" s="44"/>
      <c r="F14" s="45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</row>
    <row r="15" spans="1:23">
      <c r="A15" s="46" t="s">
        <v>108</v>
      </c>
      <c r="B15" s="43"/>
      <c r="C15" s="43"/>
      <c r="D15" s="44">
        <f>1.3*305.18</f>
        <v>396.73400000000004</v>
      </c>
      <c r="E15" s="44"/>
      <c r="F15" s="45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</row>
    <row r="16" spans="1:23">
      <c r="A16" s="46" t="s">
        <v>132</v>
      </c>
      <c r="B16" s="43"/>
      <c r="C16" s="43"/>
      <c r="D16" s="44">
        <f>1.3*350</f>
        <v>455</v>
      </c>
      <c r="E16" s="44"/>
      <c r="F16" s="45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</row>
    <row r="17" spans="1:23">
      <c r="A17" s="46" t="s">
        <v>128</v>
      </c>
      <c r="B17" s="43"/>
      <c r="C17" s="43"/>
      <c r="D17" s="44">
        <v>377.66</v>
      </c>
      <c r="E17" s="44"/>
      <c r="F17" s="45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</row>
    <row r="18" spans="1:23">
      <c r="A18" s="41" t="s">
        <v>20</v>
      </c>
      <c r="B18" s="41"/>
      <c r="C18" s="41"/>
      <c r="D18" s="44">
        <v>221.51</v>
      </c>
      <c r="E18" s="44"/>
      <c r="F18" s="45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</row>
    <row r="19" spans="1:23">
      <c r="A19" s="41" t="s">
        <v>21</v>
      </c>
      <c r="B19" s="41"/>
      <c r="C19" s="41"/>
      <c r="D19" s="44">
        <f>1.1*210.94</f>
        <v>232.03400000000002</v>
      </c>
      <c r="E19" s="44"/>
      <c r="F19" s="45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</row>
    <row r="20" spans="1:23">
      <c r="A20" s="41" t="s">
        <v>22</v>
      </c>
      <c r="B20" s="41"/>
      <c r="C20" s="41"/>
      <c r="D20" s="44"/>
      <c r="E20" s="44"/>
      <c r="F20" s="45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</row>
    <row r="21" spans="1:23">
      <c r="A21" s="41" t="s">
        <v>23</v>
      </c>
      <c r="B21" s="41"/>
      <c r="C21" s="41"/>
      <c r="D21" s="44"/>
      <c r="E21" s="44"/>
      <c r="F21" s="45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</row>
    <row r="22" spans="1:23">
      <c r="A22" s="41" t="s">
        <v>24</v>
      </c>
      <c r="B22" s="41"/>
      <c r="C22" s="41"/>
      <c r="D22" s="44"/>
      <c r="E22" s="44"/>
      <c r="F22" s="45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</row>
    <row r="23" spans="1:23">
      <c r="A23" s="41" t="s">
        <v>25</v>
      </c>
      <c r="B23" s="41"/>
      <c r="C23" s="41"/>
      <c r="D23" s="44">
        <v>136.59326999999999</v>
      </c>
      <c r="E23" s="44"/>
      <c r="F23" s="45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</row>
    <row r="24" spans="1:23">
      <c r="A24" s="41" t="s">
        <v>26</v>
      </c>
      <c r="B24" s="41"/>
      <c r="C24" s="41"/>
      <c r="D24" s="44">
        <v>0</v>
      </c>
      <c r="E24" s="44"/>
      <c r="F24" s="45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</row>
    <row r="25" spans="1:23">
      <c r="D25" s="47"/>
      <c r="E25" s="47"/>
      <c r="F25" s="45"/>
    </row>
    <row r="26" spans="1:23">
      <c r="A26" s="40" t="s">
        <v>119</v>
      </c>
      <c r="B26" s="40"/>
      <c r="C26" s="40"/>
      <c r="D26" s="47"/>
      <c r="E26" s="47"/>
      <c r="F26" s="45"/>
    </row>
    <row r="27" spans="1:23">
      <c r="A27" s="41" t="s">
        <v>155</v>
      </c>
      <c r="B27" s="41"/>
      <c r="C27" s="41"/>
      <c r="D27" s="44">
        <v>82</v>
      </c>
      <c r="E27" s="44"/>
      <c r="F27" s="45"/>
    </row>
    <row r="28" spans="1:23">
      <c r="D28" s="47"/>
      <c r="E28" s="47"/>
      <c r="F28" s="45"/>
    </row>
    <row r="29" spans="1:23">
      <c r="A29" s="40" t="s">
        <v>1</v>
      </c>
      <c r="B29" s="40"/>
      <c r="C29" s="40"/>
      <c r="D29" s="47"/>
      <c r="E29" s="47"/>
      <c r="F29" s="45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</row>
    <row r="30" spans="1:23">
      <c r="A30" s="41" t="s">
        <v>141</v>
      </c>
      <c r="B30" s="41"/>
      <c r="C30" s="41"/>
      <c r="D30" s="44">
        <v>126.31</v>
      </c>
      <c r="E30" s="44"/>
      <c r="F30" s="45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</row>
    <row r="31" spans="1:23">
      <c r="A31" s="41" t="s">
        <v>142</v>
      </c>
      <c r="B31" s="41"/>
      <c r="C31" s="41"/>
      <c r="D31" s="44">
        <v>124</v>
      </c>
      <c r="E31" s="44"/>
      <c r="F31" s="45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</row>
    <row r="32" spans="1:23">
      <c r="A32" s="41" t="s">
        <v>143</v>
      </c>
      <c r="B32" s="41"/>
      <c r="C32" s="41"/>
      <c r="D32" s="44">
        <v>123.32</v>
      </c>
      <c r="E32" s="44"/>
      <c r="F32" s="45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</row>
    <row r="33" spans="1:23">
      <c r="A33" s="41" t="s">
        <v>147</v>
      </c>
      <c r="B33" s="41"/>
      <c r="C33" s="41"/>
      <c r="D33" s="44">
        <v>123.32</v>
      </c>
      <c r="E33" s="44"/>
      <c r="F33" s="45"/>
      <c r="W33" s="41"/>
    </row>
    <row r="34" spans="1:23">
      <c r="A34" s="41" t="s">
        <v>154</v>
      </c>
      <c r="B34" s="41"/>
      <c r="C34" s="41"/>
      <c r="D34" s="44">
        <v>123.32</v>
      </c>
      <c r="E34" s="44"/>
      <c r="F34" s="45"/>
      <c r="W34" s="41"/>
    </row>
    <row r="35" spans="1:23">
      <c r="A35" s="41" t="s">
        <v>146</v>
      </c>
      <c r="B35" s="41"/>
      <c r="C35" s="41"/>
      <c r="D35" s="44">
        <v>105.07</v>
      </c>
      <c r="E35" s="44"/>
      <c r="F35" s="45"/>
      <c r="W35" s="41"/>
    </row>
    <row r="36" spans="1:23">
      <c r="A36" s="41" t="s">
        <v>144</v>
      </c>
      <c r="B36" s="41"/>
      <c r="C36" s="41"/>
      <c r="D36" s="44">
        <v>115.48</v>
      </c>
      <c r="E36" s="44"/>
      <c r="F36" s="45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</row>
    <row r="37" spans="1:23">
      <c r="A37" s="41" t="s">
        <v>145</v>
      </c>
      <c r="B37" s="41"/>
      <c r="C37" s="41"/>
      <c r="D37" s="44">
        <v>125.88</v>
      </c>
      <c r="E37" s="44"/>
      <c r="F37" s="45"/>
      <c r="W37" s="41"/>
    </row>
    <row r="38" spans="1:23">
      <c r="A38" s="41" t="s">
        <v>27</v>
      </c>
      <c r="B38" s="41"/>
      <c r="C38" s="41"/>
      <c r="D38" s="44">
        <f>1.15*192.42</f>
        <v>221.28299999999996</v>
      </c>
      <c r="E38" s="44"/>
      <c r="F38" s="45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</row>
    <row r="39" spans="1:23">
      <c r="A39" s="41" t="s">
        <v>28</v>
      </c>
      <c r="B39" s="41"/>
      <c r="C39" s="41"/>
      <c r="D39" s="44"/>
      <c r="E39" s="44"/>
      <c r="F39" s="45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</row>
    <row r="40" spans="1:23">
      <c r="A40" s="41" t="s">
        <v>29</v>
      </c>
      <c r="B40" s="41"/>
      <c r="C40" s="41"/>
      <c r="D40" s="44">
        <f>1.15*227.64</f>
        <v>261.78599999999994</v>
      </c>
      <c r="E40" s="44"/>
      <c r="F40" s="45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</row>
    <row r="41" spans="1:23">
      <c r="A41" s="41" t="s">
        <v>30</v>
      </c>
      <c r="B41" s="41"/>
      <c r="C41" s="41"/>
      <c r="D41" s="44"/>
      <c r="E41" s="44"/>
      <c r="F41" s="45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</row>
    <row r="42" spans="1:23">
      <c r="A42" s="41" t="s">
        <v>31</v>
      </c>
      <c r="B42" s="41"/>
      <c r="C42" s="41"/>
      <c r="D42" s="44">
        <f>1.15*78</f>
        <v>89.699999999999989</v>
      </c>
      <c r="E42" s="44"/>
      <c r="F42" s="45"/>
      <c r="W42" s="41"/>
    </row>
    <row r="43" spans="1:23">
      <c r="A43" s="41" t="s">
        <v>32</v>
      </c>
      <c r="B43" s="41"/>
      <c r="C43" s="41"/>
      <c r="D43" s="44">
        <f>1.15*79.75</f>
        <v>91.712499999999991</v>
      </c>
      <c r="E43" s="44"/>
      <c r="F43" s="45"/>
      <c r="W43" s="41"/>
    </row>
    <row r="44" spans="1:23">
      <c r="A44" s="41" t="s">
        <v>33</v>
      </c>
      <c r="B44" s="41"/>
      <c r="C44" s="41"/>
      <c r="D44" s="44">
        <f>1.15*99.65</f>
        <v>114.5975</v>
      </c>
      <c r="E44" s="44"/>
      <c r="F44" s="45"/>
      <c r="W44" s="41"/>
    </row>
    <row r="45" spans="1:23">
      <c r="A45" s="41" t="s">
        <v>34</v>
      </c>
      <c r="B45" s="41"/>
      <c r="C45" s="41"/>
      <c r="D45" s="44">
        <f>1.15*110.72</f>
        <v>127.32799999999999</v>
      </c>
      <c r="E45" s="44"/>
      <c r="F45" s="45"/>
      <c r="W45" s="41"/>
    </row>
    <row r="46" spans="1:23">
      <c r="A46" s="41" t="s">
        <v>35</v>
      </c>
      <c r="B46" s="41"/>
      <c r="C46" s="41"/>
      <c r="D46" s="44">
        <f>1.15*80.98</f>
        <v>93.126999999999995</v>
      </c>
      <c r="E46" s="44"/>
      <c r="F46" s="45"/>
      <c r="W46" s="41"/>
    </row>
    <row r="47" spans="1:23">
      <c r="A47" s="41" t="s">
        <v>139</v>
      </c>
      <c r="B47" s="41"/>
      <c r="C47" s="41"/>
      <c r="D47" s="44">
        <f>1.15*65.27</f>
        <v>75.06049999999999</v>
      </c>
      <c r="E47" s="44"/>
      <c r="F47" s="45"/>
      <c r="W47" s="41"/>
    </row>
    <row r="48" spans="1:23">
      <c r="F48" s="45"/>
    </row>
    <row r="49" spans="1:23">
      <c r="A49" s="40" t="s">
        <v>18</v>
      </c>
      <c r="B49" s="40"/>
      <c r="C49" s="40"/>
      <c r="F49" s="45"/>
      <c r="W49" s="41"/>
    </row>
    <row r="50" spans="1:23">
      <c r="A50" s="41" t="s">
        <v>36</v>
      </c>
      <c r="B50" s="41"/>
      <c r="C50" s="41"/>
      <c r="D50" s="44">
        <v>12.59046</v>
      </c>
      <c r="E50" s="44"/>
      <c r="F50" s="45"/>
      <c r="W50" s="41"/>
    </row>
    <row r="51" spans="1:23">
      <c r="A51" s="41" t="s">
        <v>37</v>
      </c>
      <c r="B51" s="41"/>
      <c r="C51" s="41"/>
      <c r="D51" s="44">
        <f>1.25*22.18077</f>
        <v>27.725962499999998</v>
      </c>
      <c r="E51" s="44"/>
      <c r="F51" s="45"/>
      <c r="W51" s="41"/>
    </row>
    <row r="52" spans="1:23">
      <c r="A52" s="41" t="s">
        <v>38</v>
      </c>
      <c r="B52" s="41"/>
      <c r="C52" s="41"/>
      <c r="D52" s="44">
        <v>25.170750000000002</v>
      </c>
      <c r="E52" s="44"/>
      <c r="F52" s="45"/>
      <c r="W52" s="41"/>
    </row>
    <row r="53" spans="1:23">
      <c r="A53" s="40" t="s">
        <v>3</v>
      </c>
      <c r="B53" s="40"/>
      <c r="C53" s="40"/>
      <c r="F53" s="45"/>
      <c r="W53" s="41"/>
    </row>
    <row r="54" spans="1:23">
      <c r="A54" s="41" t="s">
        <v>42</v>
      </c>
      <c r="B54" s="41"/>
      <c r="C54" s="41"/>
      <c r="D54" s="44">
        <v>10.20051</v>
      </c>
      <c r="E54" s="44"/>
      <c r="F54" s="45"/>
      <c r="W54" s="41"/>
    </row>
    <row r="55" spans="1:23">
      <c r="A55" s="41" t="s">
        <v>41</v>
      </c>
      <c r="B55" s="41"/>
      <c r="C55" s="41"/>
      <c r="D55" s="44"/>
      <c r="E55" s="44"/>
      <c r="F55" s="45"/>
      <c r="W55" s="41"/>
    </row>
    <row r="56" spans="1:23">
      <c r="A56" s="40" t="s">
        <v>19</v>
      </c>
      <c r="B56" s="40"/>
      <c r="C56" s="40"/>
      <c r="F56" s="45"/>
      <c r="W56" s="41"/>
    </row>
    <row r="57" spans="1:23">
      <c r="A57" s="41" t="s">
        <v>39</v>
      </c>
      <c r="B57" s="41"/>
      <c r="C57" s="41"/>
      <c r="D57" s="44">
        <v>58.721580000000003</v>
      </c>
      <c r="E57" s="44"/>
      <c r="F57" s="45"/>
      <c r="W57" s="41"/>
    </row>
    <row r="58" spans="1:23">
      <c r="A58" s="41" t="s">
        <v>40</v>
      </c>
      <c r="B58" s="41"/>
      <c r="C58" s="41"/>
      <c r="D58" s="44">
        <v>89.862120000000004</v>
      </c>
      <c r="E58" s="44"/>
      <c r="F58" s="45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</row>
    <row r="59" spans="1:23">
      <c r="A59" s="41" t="s">
        <v>152</v>
      </c>
      <c r="B59" s="41"/>
      <c r="C59" s="41"/>
      <c r="D59" s="44">
        <f>1.2*26</f>
        <v>31.2</v>
      </c>
      <c r="E59" s="44"/>
      <c r="F59" s="45"/>
      <c r="W59" s="41"/>
    </row>
    <row r="60" spans="1:23">
      <c r="A60" s="41" t="s">
        <v>153</v>
      </c>
      <c r="B60" s="41"/>
      <c r="C60" s="41"/>
      <c r="D60" s="44">
        <f>1.2*26</f>
        <v>31.2</v>
      </c>
      <c r="E60" s="44"/>
      <c r="F60" s="45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</row>
    <row r="61" spans="1:23">
      <c r="A61" s="41" t="s">
        <v>186</v>
      </c>
      <c r="B61" s="41"/>
      <c r="C61" s="41"/>
      <c r="D61" s="44">
        <f>1.2*36</f>
        <v>43.199999999999996</v>
      </c>
      <c r="E61" s="44"/>
      <c r="F61" s="45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</row>
    <row r="62" spans="1:23">
      <c r="A62" s="40" t="s">
        <v>2</v>
      </c>
      <c r="B62" s="40"/>
      <c r="C62" s="40"/>
      <c r="D62" s="41"/>
      <c r="E62" s="41"/>
      <c r="F62" s="45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</row>
    <row r="63" spans="1:23">
      <c r="A63" s="41" t="s">
        <v>43</v>
      </c>
      <c r="B63" s="41"/>
      <c r="C63" s="41"/>
      <c r="D63" s="44">
        <f>1.2*8.15634</f>
        <v>9.7876080000000005</v>
      </c>
      <c r="E63" s="44"/>
      <c r="F63" s="45"/>
    </row>
    <row r="64" spans="1:23">
      <c r="A64" s="41" t="s">
        <v>44</v>
      </c>
      <c r="B64" s="41"/>
      <c r="C64" s="41"/>
      <c r="D64" s="44">
        <f>1.2*16.31268</f>
        <v>19.575216000000001</v>
      </c>
      <c r="E64" s="44"/>
      <c r="F64" s="45"/>
    </row>
    <row r="65" spans="1:23">
      <c r="A65" s="41" t="s">
        <v>45</v>
      </c>
      <c r="B65" s="41"/>
      <c r="C65" s="41"/>
      <c r="D65" s="44">
        <f>1.2*20.38068</f>
        <v>24.456816</v>
      </c>
      <c r="E65" s="44"/>
      <c r="F65" s="45"/>
    </row>
    <row r="66" spans="1:23">
      <c r="A66" s="48" t="s">
        <v>46</v>
      </c>
      <c r="B66" s="48"/>
      <c r="C66" s="48"/>
      <c r="D66" s="44">
        <f>1.2*10.20051</f>
        <v>12.240611999999999</v>
      </c>
      <c r="E66" s="44"/>
      <c r="F66" s="45"/>
    </row>
    <row r="67" spans="1:23">
      <c r="A67" s="41" t="s">
        <v>47</v>
      </c>
      <c r="B67" s="41"/>
      <c r="C67" s="41"/>
      <c r="D67" s="44">
        <f>1.2*20.38068</f>
        <v>24.456816</v>
      </c>
      <c r="E67" s="44"/>
      <c r="F67" s="45"/>
    </row>
    <row r="68" spans="1:23">
      <c r="A68" s="41" t="s">
        <v>48</v>
      </c>
      <c r="B68" s="41"/>
      <c r="C68" s="41"/>
      <c r="D68" s="44">
        <f>1.2*10.20051</f>
        <v>12.240611999999999</v>
      </c>
      <c r="E68" s="44"/>
      <c r="F68" s="45"/>
    </row>
    <row r="69" spans="1:23">
      <c r="A69" s="41" t="s">
        <v>49</v>
      </c>
      <c r="B69" s="41"/>
      <c r="C69" s="41"/>
      <c r="D69" s="44">
        <f>1.2*10.20051</f>
        <v>12.240611999999999</v>
      </c>
      <c r="E69" s="44"/>
      <c r="F69" s="45"/>
    </row>
    <row r="70" spans="1:23">
      <c r="A70" s="41" t="s">
        <v>50</v>
      </c>
      <c r="B70" s="41"/>
      <c r="C70" s="41"/>
      <c r="D70" s="44">
        <f>1.2*10.20051</f>
        <v>12.240611999999999</v>
      </c>
      <c r="E70" s="44"/>
      <c r="F70" s="45"/>
    </row>
    <row r="71" spans="1:23">
      <c r="E71" s="39"/>
      <c r="F71" s="39"/>
    </row>
    <row r="72" spans="1:23">
      <c r="E72" s="39"/>
      <c r="F72" s="39"/>
    </row>
    <row r="73" spans="1:23">
      <c r="A73" s="41" t="s">
        <v>4</v>
      </c>
      <c r="B73" s="41"/>
      <c r="C73" s="41"/>
      <c r="E73" s="39"/>
      <c r="F73" s="39"/>
      <c r="H73" s="41"/>
      <c r="S73" s="41"/>
      <c r="T73" s="41"/>
      <c r="U73" s="41"/>
      <c r="V73" s="41"/>
      <c r="W73" s="41"/>
    </row>
    <row r="74" spans="1:23">
      <c r="A74" s="49" t="s">
        <v>81</v>
      </c>
      <c r="D74" s="50" t="s">
        <v>51</v>
      </c>
      <c r="E74" s="51">
        <v>1</v>
      </c>
      <c r="F74" s="52">
        <f>LOOKUP(E74,A75:A79,D75:D79)</f>
        <v>156.95564400000001</v>
      </c>
    </row>
    <row r="75" spans="1:23">
      <c r="A75" s="49">
        <v>1</v>
      </c>
      <c r="B75" s="53" t="s">
        <v>71</v>
      </c>
      <c r="C75" s="54">
        <v>1</v>
      </c>
      <c r="D75" s="55">
        <v>156.95564400000001</v>
      </c>
      <c r="E75" s="55"/>
      <c r="F75" s="45"/>
    </row>
    <row r="76" spans="1:23">
      <c r="A76" s="49">
        <v>2</v>
      </c>
      <c r="B76" s="53" t="s">
        <v>68</v>
      </c>
      <c r="C76" s="50">
        <v>2</v>
      </c>
      <c r="D76" s="55">
        <v>174.93213600000001</v>
      </c>
      <c r="E76" s="55"/>
      <c r="F76" s="45"/>
    </row>
    <row r="77" spans="1:23">
      <c r="A77" s="49">
        <v>3</v>
      </c>
      <c r="B77" s="53" t="s">
        <v>69</v>
      </c>
      <c r="C77" s="50">
        <v>3</v>
      </c>
      <c r="D77" s="55">
        <v>166.547988</v>
      </c>
      <c r="E77" s="55"/>
      <c r="F77" s="45"/>
      <c r="M77" s="50"/>
      <c r="N77" s="44"/>
    </row>
    <row r="78" spans="1:23">
      <c r="A78" s="49">
        <v>4</v>
      </c>
      <c r="B78" s="53" t="s">
        <v>70</v>
      </c>
      <c r="C78" s="50">
        <v>4</v>
      </c>
      <c r="D78" s="55">
        <v>174.93213600000001</v>
      </c>
      <c r="E78" s="55"/>
      <c r="F78" s="45"/>
      <c r="M78" s="50"/>
      <c r="N78" s="44"/>
    </row>
    <row r="79" spans="1:23">
      <c r="A79" s="49">
        <v>5</v>
      </c>
      <c r="B79" s="53" t="s">
        <v>109</v>
      </c>
      <c r="C79" s="50">
        <v>7</v>
      </c>
      <c r="D79" s="55">
        <v>174.93213600000001</v>
      </c>
      <c r="E79" s="55"/>
      <c r="F79" s="45"/>
      <c r="M79" s="50"/>
      <c r="N79" s="44"/>
    </row>
    <row r="80" spans="1:23">
      <c r="A80" s="49" t="s">
        <v>80</v>
      </c>
      <c r="B80" s="56"/>
      <c r="D80" s="50" t="s">
        <v>51</v>
      </c>
      <c r="E80" s="51">
        <v>2</v>
      </c>
      <c r="F80" s="52">
        <f>LOOKUP(E80,A81:A86,D81:D86)</f>
        <v>23.962554000000001</v>
      </c>
    </row>
    <row r="81" spans="1:22">
      <c r="A81" s="49">
        <v>1</v>
      </c>
      <c r="B81" s="53" t="s">
        <v>92</v>
      </c>
      <c r="C81" s="50">
        <v>1</v>
      </c>
      <c r="D81" s="55">
        <v>0</v>
      </c>
      <c r="E81" s="55"/>
      <c r="F81" s="45"/>
      <c r="G81" s="50"/>
    </row>
    <row r="82" spans="1:22">
      <c r="A82" s="49">
        <v>2</v>
      </c>
      <c r="B82" s="53" t="s">
        <v>91</v>
      </c>
      <c r="C82" s="50">
        <v>2</v>
      </c>
      <c r="D82" s="55">
        <v>23.962554000000001</v>
      </c>
      <c r="E82" s="55"/>
      <c r="F82" s="45"/>
    </row>
    <row r="83" spans="1:22">
      <c r="A83" s="49">
        <v>3</v>
      </c>
      <c r="B83" s="53" t="s">
        <v>104</v>
      </c>
      <c r="C83" s="50">
        <v>3</v>
      </c>
      <c r="D83" s="55">
        <v>34.744788</v>
      </c>
      <c r="E83" s="55"/>
      <c r="F83" s="45"/>
    </row>
    <row r="84" spans="1:22">
      <c r="A84" s="49">
        <v>4</v>
      </c>
      <c r="B84" s="53" t="s">
        <v>87</v>
      </c>
      <c r="C84" s="50">
        <v>4</v>
      </c>
      <c r="D84" s="55">
        <v>25.161597</v>
      </c>
      <c r="E84" s="55"/>
      <c r="F84" s="45"/>
    </row>
    <row r="85" spans="1:22">
      <c r="A85" s="49">
        <v>5</v>
      </c>
      <c r="B85" s="53" t="s">
        <v>88</v>
      </c>
      <c r="C85" s="50">
        <v>5</v>
      </c>
      <c r="D85" s="55">
        <v>49.124150999999998</v>
      </c>
      <c r="E85" s="55"/>
      <c r="F85" s="45"/>
    </row>
    <row r="86" spans="1:22">
      <c r="A86" s="49">
        <v>6</v>
      </c>
      <c r="B86" s="53" t="s">
        <v>89</v>
      </c>
      <c r="C86" s="50">
        <v>6</v>
      </c>
      <c r="D86" s="55">
        <v>59.906385</v>
      </c>
      <c r="E86" s="55"/>
      <c r="F86" s="45"/>
    </row>
    <row r="87" spans="1:22">
      <c r="A87" s="49" t="s">
        <v>82</v>
      </c>
      <c r="B87" s="56"/>
      <c r="C87" s="50"/>
      <c r="E87" s="39"/>
      <c r="F87" s="39"/>
      <c r="G87" s="50"/>
    </row>
    <row r="88" spans="1:22">
      <c r="A88" s="49">
        <v>1</v>
      </c>
      <c r="B88" s="56" t="s">
        <v>63</v>
      </c>
      <c r="C88" s="57"/>
      <c r="E88" s="39"/>
      <c r="F88" s="39"/>
    </row>
    <row r="89" spans="1:22">
      <c r="A89" s="49">
        <v>2</v>
      </c>
      <c r="B89" s="38" t="s">
        <v>63</v>
      </c>
      <c r="C89" s="58"/>
      <c r="E89" s="39"/>
      <c r="F89" s="39"/>
    </row>
    <row r="90" spans="1:22">
      <c r="A90" s="49">
        <v>3</v>
      </c>
      <c r="B90" s="38" t="s">
        <v>63</v>
      </c>
      <c r="E90" s="39"/>
      <c r="F90" s="39"/>
    </row>
    <row r="91" spans="1:22">
      <c r="A91" s="49">
        <v>4</v>
      </c>
      <c r="B91" s="38" t="s">
        <v>90</v>
      </c>
      <c r="E91" s="39"/>
      <c r="F91" s="39"/>
    </row>
    <row r="92" spans="1:22">
      <c r="A92" s="49">
        <v>5</v>
      </c>
      <c r="B92" s="38" t="s">
        <v>90</v>
      </c>
      <c r="E92" s="39"/>
      <c r="F92" s="39"/>
    </row>
    <row r="93" spans="1:22">
      <c r="A93" s="49">
        <v>6</v>
      </c>
      <c r="B93" s="41" t="s">
        <v>90</v>
      </c>
      <c r="C93" s="41"/>
      <c r="D93" s="41"/>
      <c r="E93" s="42"/>
      <c r="F93" s="42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</row>
    <row r="94" spans="1:22">
      <c r="A94" s="59" t="s">
        <v>79</v>
      </c>
      <c r="B94" s="41"/>
      <c r="C94" s="41"/>
      <c r="D94" s="41"/>
      <c r="E94" s="42"/>
      <c r="F94" s="42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</row>
    <row r="95" spans="1:22">
      <c r="A95" s="49">
        <v>1</v>
      </c>
      <c r="C95" s="54">
        <v>12</v>
      </c>
      <c r="D95" s="41"/>
      <c r="E95" s="42"/>
      <c r="F95" s="42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</row>
    <row r="96" spans="1:22">
      <c r="A96" s="49">
        <v>2</v>
      </c>
      <c r="C96" s="54">
        <v>10</v>
      </c>
      <c r="D96" s="41"/>
      <c r="E96" s="42"/>
      <c r="F96" s="42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</row>
    <row r="97" spans="1:22">
      <c r="A97" s="49">
        <v>3</v>
      </c>
      <c r="C97" s="54">
        <v>8</v>
      </c>
      <c r="D97" s="41"/>
      <c r="E97" s="42"/>
      <c r="F97" s="42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</row>
    <row r="98" spans="1:22">
      <c r="A98" s="49">
        <v>4</v>
      </c>
      <c r="C98" s="54">
        <v>12</v>
      </c>
      <c r="D98" s="41"/>
      <c r="E98" s="42"/>
      <c r="F98" s="42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</row>
    <row r="99" spans="1:22">
      <c r="A99" s="49">
        <v>5</v>
      </c>
      <c r="C99" s="54">
        <v>10</v>
      </c>
      <c r="D99" s="41"/>
      <c r="E99" s="42"/>
      <c r="F99" s="42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</row>
    <row r="100" spans="1:22">
      <c r="A100" s="49">
        <v>6</v>
      </c>
      <c r="C100" s="54">
        <v>8</v>
      </c>
      <c r="D100" s="41"/>
      <c r="E100" s="42"/>
      <c r="F100" s="42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</row>
    <row r="101" spans="1:22">
      <c r="A101" s="49"/>
      <c r="B101" s="41"/>
      <c r="C101" s="41"/>
      <c r="D101" s="41"/>
      <c r="E101" s="42"/>
      <c r="F101" s="42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</row>
    <row r="102" spans="1:22">
      <c r="A102" s="41"/>
      <c r="B102" s="41"/>
      <c r="C102" s="41"/>
      <c r="D102" s="41"/>
      <c r="E102" s="42"/>
      <c r="F102" s="42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</row>
    <row r="103" spans="1:22">
      <c r="A103" s="49" t="s">
        <v>86</v>
      </c>
      <c r="B103" s="56"/>
      <c r="D103" s="50" t="s">
        <v>51</v>
      </c>
      <c r="E103" s="51">
        <v>2</v>
      </c>
      <c r="F103" s="52">
        <f>LOOKUP(E103,A104:A105,D104:D105)</f>
        <v>10.196441999999999</v>
      </c>
    </row>
    <row r="104" spans="1:22">
      <c r="A104" s="49">
        <v>1</v>
      </c>
      <c r="B104" s="53" t="s">
        <v>72</v>
      </c>
      <c r="C104" s="50">
        <v>1</v>
      </c>
      <c r="D104" s="55">
        <v>0</v>
      </c>
      <c r="E104" s="55"/>
      <c r="F104" s="45"/>
    </row>
    <row r="105" spans="1:22">
      <c r="A105" s="49">
        <v>2</v>
      </c>
      <c r="B105" s="53" t="s">
        <v>73</v>
      </c>
      <c r="C105" s="50">
        <v>2</v>
      </c>
      <c r="D105" s="55">
        <v>10.196441999999999</v>
      </c>
      <c r="E105" s="55"/>
      <c r="F105" s="45"/>
    </row>
    <row r="106" spans="1:22">
      <c r="A106" s="49" t="s">
        <v>83</v>
      </c>
      <c r="B106" s="56"/>
      <c r="D106" s="50" t="s">
        <v>51</v>
      </c>
      <c r="E106" s="51">
        <v>1</v>
      </c>
      <c r="F106" s="52">
        <f>LOOKUP(E106,A107:A108,D107:D108)</f>
        <v>0</v>
      </c>
    </row>
    <row r="107" spans="1:22">
      <c r="A107" s="49">
        <v>1</v>
      </c>
      <c r="B107" s="53" t="s">
        <v>74</v>
      </c>
      <c r="C107" s="50">
        <v>1</v>
      </c>
      <c r="D107" s="55">
        <v>0</v>
      </c>
      <c r="E107" s="55"/>
      <c r="F107" s="45"/>
    </row>
    <row r="108" spans="1:22">
      <c r="A108" s="49">
        <v>2</v>
      </c>
      <c r="B108" s="53" t="s">
        <v>77</v>
      </c>
      <c r="C108" s="50">
        <v>3</v>
      </c>
      <c r="D108" s="55">
        <v>33.554898000000001</v>
      </c>
      <c r="E108" s="55"/>
      <c r="F108" s="45"/>
    </row>
    <row r="109" spans="1:22">
      <c r="A109" s="49" t="s">
        <v>84</v>
      </c>
      <c r="B109" s="56"/>
      <c r="D109" s="50" t="s">
        <v>51</v>
      </c>
      <c r="E109" s="51">
        <v>1</v>
      </c>
      <c r="F109" s="52">
        <f>LOOKUP(E109,A110:A111,D110:D111)</f>
        <v>0</v>
      </c>
    </row>
    <row r="110" spans="1:22">
      <c r="A110" s="49">
        <v>1</v>
      </c>
      <c r="B110" s="53" t="s">
        <v>76</v>
      </c>
      <c r="C110" s="60" t="s">
        <v>93</v>
      </c>
      <c r="D110" s="44">
        <v>0</v>
      </c>
      <c r="E110" s="39"/>
      <c r="F110" s="39"/>
    </row>
    <row r="111" spans="1:22">
      <c r="A111" s="49">
        <v>2</v>
      </c>
      <c r="B111" s="53" t="s">
        <v>106</v>
      </c>
      <c r="C111" s="60" t="s">
        <v>94</v>
      </c>
      <c r="D111" s="44">
        <v>0</v>
      </c>
      <c r="E111" s="39"/>
      <c r="F111" s="39"/>
    </row>
    <row r="112" spans="1:22">
      <c r="A112" s="49" t="s">
        <v>85</v>
      </c>
      <c r="B112" s="56"/>
      <c r="D112" s="50" t="s">
        <v>51</v>
      </c>
      <c r="E112" s="51">
        <v>2</v>
      </c>
      <c r="F112" s="52">
        <f>LOOKUP(E112,A113:A116,D113:D116)</f>
        <v>0</v>
      </c>
    </row>
    <row r="113" spans="1:22">
      <c r="A113" s="49">
        <v>0</v>
      </c>
      <c r="B113" s="53" t="s">
        <v>75</v>
      </c>
      <c r="C113" s="50">
        <v>0</v>
      </c>
      <c r="D113" s="55">
        <v>-31.16</v>
      </c>
      <c r="E113" s="55"/>
      <c r="F113" s="45"/>
    </row>
    <row r="114" spans="1:22">
      <c r="A114" s="49">
        <v>1</v>
      </c>
      <c r="B114" s="53" t="s">
        <v>75</v>
      </c>
      <c r="C114" s="50">
        <v>0</v>
      </c>
      <c r="D114" s="55">
        <v>-31.16</v>
      </c>
      <c r="E114" s="55"/>
      <c r="F114" s="45"/>
    </row>
    <row r="115" spans="1:22">
      <c r="A115" s="49">
        <v>2</v>
      </c>
      <c r="B115" s="53" t="s">
        <v>133</v>
      </c>
      <c r="C115" s="50">
        <v>5</v>
      </c>
      <c r="D115" s="55">
        <v>0</v>
      </c>
      <c r="E115" s="55"/>
      <c r="F115" s="45"/>
    </row>
    <row r="116" spans="1:22">
      <c r="A116" s="49">
        <v>3</v>
      </c>
      <c r="B116" s="53" t="s">
        <v>134</v>
      </c>
      <c r="C116" s="50">
        <v>6</v>
      </c>
      <c r="D116" s="55">
        <v>8.393301000000001</v>
      </c>
      <c r="E116" s="55"/>
      <c r="F116" s="45"/>
    </row>
    <row r="117" spans="1:22">
      <c r="D117" s="41" t="s">
        <v>52</v>
      </c>
      <c r="E117" s="39"/>
      <c r="F117" s="52">
        <f>(F74+F80+F103+F106+F109+F112)*1.4</f>
        <v>267.560496</v>
      </c>
    </row>
    <row r="118" spans="1:22">
      <c r="E118" s="39"/>
      <c r="F118" s="39"/>
    </row>
    <row r="119" spans="1:22">
      <c r="E119" s="39"/>
      <c r="F119" s="39"/>
    </row>
    <row r="120" spans="1:22">
      <c r="E120" s="39"/>
      <c r="F120" s="39"/>
    </row>
    <row r="121" spans="1:22">
      <c r="A121" s="41"/>
      <c r="B121" s="41"/>
      <c r="C121" s="41"/>
      <c r="E121" s="39"/>
      <c r="F121" s="39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</row>
    <row r="122" spans="1:22">
      <c r="B122" s="61"/>
      <c r="E122" s="51"/>
    </row>
    <row r="123" spans="1:22">
      <c r="B123" s="62"/>
      <c r="D123" s="63"/>
    </row>
    <row r="124" spans="1:22">
      <c r="B124" s="62"/>
      <c r="D124" s="63"/>
    </row>
    <row r="125" spans="1:22">
      <c r="B125" s="61"/>
      <c r="D125" s="63"/>
    </row>
    <row r="126" spans="1:22">
      <c r="B126" s="61"/>
      <c r="D126" s="63"/>
    </row>
    <row r="127" spans="1:22">
      <c r="B127" s="61"/>
      <c r="D127" s="63"/>
    </row>
    <row r="128" spans="1:22">
      <c r="B128" s="61"/>
      <c r="D128" s="63"/>
    </row>
    <row r="129" spans="2:5">
      <c r="B129" s="61"/>
      <c r="D129" s="63"/>
    </row>
    <row r="130" spans="2:5">
      <c r="B130" s="61"/>
      <c r="D130" s="63"/>
    </row>
    <row r="131" spans="2:5">
      <c r="B131" s="61"/>
      <c r="D131" s="63"/>
    </row>
    <row r="132" spans="2:5">
      <c r="B132" s="61"/>
      <c r="D132" s="63"/>
    </row>
    <row r="133" spans="2:5">
      <c r="B133" s="61"/>
      <c r="D133" s="63"/>
    </row>
    <row r="134" spans="2:5">
      <c r="B134" s="61"/>
      <c r="D134" s="63"/>
    </row>
    <row r="135" spans="2:5">
      <c r="B135" s="61"/>
      <c r="D135" s="63"/>
    </row>
    <row r="136" spans="2:5">
      <c r="B136" s="61"/>
      <c r="D136" s="63"/>
    </row>
    <row r="137" spans="2:5">
      <c r="B137" s="61"/>
      <c r="D137" s="63"/>
    </row>
    <row r="138" spans="2:5">
      <c r="B138" s="61"/>
      <c r="D138" s="63"/>
    </row>
    <row r="139" spans="2:5">
      <c r="B139" s="61"/>
      <c r="D139" s="63"/>
    </row>
    <row r="140" spans="2:5">
      <c r="B140" s="61"/>
      <c r="D140" s="63"/>
    </row>
    <row r="141" spans="2:5">
      <c r="B141" s="61"/>
      <c r="E141" s="51"/>
    </row>
    <row r="142" spans="2:5">
      <c r="B142" s="62"/>
      <c r="D142" s="63"/>
    </row>
    <row r="143" spans="2:5">
      <c r="B143" s="62"/>
      <c r="D143" s="63"/>
    </row>
    <row r="144" spans="2:5">
      <c r="B144" s="61"/>
      <c r="D144" s="63"/>
    </row>
    <row r="145" spans="2:14">
      <c r="B145" s="61"/>
      <c r="D145" s="63"/>
    </row>
    <row r="146" spans="2:14">
      <c r="B146" s="61"/>
      <c r="D146" s="63"/>
    </row>
    <row r="147" spans="2:14">
      <c r="B147" s="61"/>
      <c r="D147" s="63"/>
    </row>
    <row r="148" spans="2:14">
      <c r="B148" s="61"/>
      <c r="D148" s="63"/>
    </row>
    <row r="149" spans="2:14">
      <c r="B149" s="61"/>
      <c r="D149" s="63"/>
    </row>
    <row r="150" spans="2:14">
      <c r="B150" s="61"/>
      <c r="D150" s="63"/>
    </row>
    <row r="151" spans="2:14">
      <c r="B151" s="61"/>
      <c r="D151" s="63"/>
    </row>
    <row r="152" spans="2:14">
      <c r="B152" s="61"/>
      <c r="D152" s="63"/>
    </row>
    <row r="153" spans="2:14">
      <c r="B153" s="61"/>
      <c r="D153" s="63"/>
    </row>
    <row r="154" spans="2:14">
      <c r="B154" s="61"/>
      <c r="D154" s="63"/>
    </row>
    <row r="155" spans="2:14">
      <c r="B155" s="61"/>
      <c r="D155" s="63"/>
    </row>
    <row r="156" spans="2:14">
      <c r="B156" s="61"/>
      <c r="D156" s="63"/>
    </row>
    <row r="157" spans="2:14">
      <c r="B157" s="61"/>
      <c r="D157" s="63"/>
    </row>
    <row r="158" spans="2:14">
      <c r="B158" s="61"/>
      <c r="D158" s="63"/>
    </row>
    <row r="159" spans="2:14">
      <c r="B159" s="61"/>
      <c r="D159" s="63"/>
      <c r="J159" s="64"/>
      <c r="K159" s="64"/>
      <c r="L159" s="64"/>
      <c r="M159" s="64"/>
      <c r="N159" s="64"/>
    </row>
    <row r="160" spans="2:14">
      <c r="B160" s="65"/>
      <c r="C160" s="61"/>
      <c r="D160" s="61"/>
      <c r="E160" s="51"/>
      <c r="J160" s="64"/>
      <c r="K160" s="64"/>
      <c r="L160" s="64"/>
      <c r="M160" s="64"/>
      <c r="N160" s="64"/>
    </row>
    <row r="161" spans="2:33">
      <c r="B161" s="66"/>
      <c r="C161" s="67"/>
      <c r="D161" s="63"/>
      <c r="E161" s="63"/>
      <c r="J161" s="66"/>
      <c r="K161" s="66"/>
      <c r="L161" s="66"/>
      <c r="M161" s="66"/>
      <c r="N161" s="66"/>
    </row>
    <row r="162" spans="2:33">
      <c r="B162" s="66"/>
      <c r="C162" s="67"/>
      <c r="D162" s="63"/>
      <c r="E162" s="63"/>
      <c r="J162" s="66"/>
      <c r="K162" s="66"/>
      <c r="L162" s="66"/>
      <c r="M162" s="66"/>
      <c r="N162" s="66"/>
    </row>
    <row r="163" spans="2:33">
      <c r="B163" s="66"/>
      <c r="C163" s="67"/>
      <c r="D163" s="63"/>
      <c r="E163" s="63"/>
      <c r="J163" s="66"/>
      <c r="K163" s="66"/>
      <c r="L163" s="66"/>
      <c r="M163" s="66"/>
      <c r="N163" s="66"/>
    </row>
    <row r="164" spans="2:33">
      <c r="B164" s="66"/>
      <c r="C164" s="67"/>
      <c r="D164" s="63"/>
      <c r="E164" s="63"/>
      <c r="J164" s="66"/>
      <c r="K164" s="66"/>
      <c r="L164" s="66"/>
      <c r="M164" s="66"/>
      <c r="N164" s="66"/>
    </row>
    <row r="165" spans="2:33">
      <c r="B165" s="66"/>
      <c r="C165" s="67"/>
      <c r="D165" s="63"/>
      <c r="E165" s="63"/>
      <c r="J165" s="66"/>
      <c r="K165" s="66"/>
      <c r="L165" s="66"/>
      <c r="M165" s="66"/>
      <c r="N165" s="66"/>
    </row>
    <row r="166" spans="2:33">
      <c r="B166" s="66"/>
      <c r="C166" s="67"/>
      <c r="D166" s="63"/>
      <c r="E166" s="63"/>
      <c r="J166" s="66"/>
      <c r="K166" s="66"/>
      <c r="L166" s="66"/>
      <c r="M166" s="66"/>
      <c r="N166" s="66"/>
    </row>
    <row r="167" spans="2:33">
      <c r="B167" s="66"/>
      <c r="C167" s="67"/>
      <c r="D167" s="63"/>
      <c r="E167" s="63"/>
      <c r="J167" s="66"/>
      <c r="K167" s="66"/>
      <c r="L167" s="66"/>
      <c r="M167" s="66"/>
      <c r="N167" s="66"/>
    </row>
    <row r="168" spans="2:33">
      <c r="D168" s="41"/>
      <c r="E168" s="39"/>
      <c r="F168" s="44"/>
    </row>
    <row r="172" spans="2:33">
      <c r="B172" s="86"/>
      <c r="C172" s="86"/>
      <c r="D172" s="86"/>
      <c r="E172" s="86"/>
      <c r="F172" s="86"/>
      <c r="G172" s="86"/>
      <c r="H172" s="86"/>
      <c r="I172" s="86"/>
      <c r="J172" s="86"/>
      <c r="K172" s="86"/>
      <c r="L172" s="86"/>
      <c r="M172" s="86"/>
      <c r="N172" s="86"/>
      <c r="O172" s="86"/>
      <c r="P172" s="86"/>
      <c r="Q172" s="86"/>
      <c r="R172" s="86"/>
      <c r="S172" s="86"/>
      <c r="T172" s="86"/>
      <c r="U172" s="86"/>
      <c r="V172" s="68">
        <v>4</v>
      </c>
      <c r="W172" s="86"/>
      <c r="X172" s="86"/>
      <c r="Y172" s="86"/>
      <c r="Z172" s="86"/>
      <c r="AA172" s="86"/>
      <c r="AB172" s="86"/>
      <c r="AC172" s="86"/>
      <c r="AD172" s="134"/>
      <c r="AE172" s="134"/>
      <c r="AF172" s="134"/>
      <c r="AG172" s="86"/>
    </row>
    <row r="173" spans="2:33">
      <c r="B173" s="86"/>
      <c r="C173" s="135"/>
      <c r="D173" s="86"/>
      <c r="E173" s="69"/>
      <c r="F173" s="69"/>
      <c r="G173" s="69"/>
      <c r="H173" s="69"/>
      <c r="I173" s="69"/>
      <c r="J173" s="69"/>
      <c r="K173" s="69"/>
      <c r="L173" s="69"/>
      <c r="M173" s="86"/>
      <c r="N173" s="86"/>
      <c r="O173" s="70">
        <v>52.926482329999999</v>
      </c>
      <c r="P173" s="36" t="s">
        <v>190</v>
      </c>
      <c r="Q173" s="86">
        <f>194.18+5+10</f>
        <v>209.18</v>
      </c>
      <c r="R173" s="86">
        <v>0</v>
      </c>
      <c r="S173" s="86">
        <v>1</v>
      </c>
      <c r="T173" s="86">
        <v>1</v>
      </c>
      <c r="U173" s="86">
        <v>0</v>
      </c>
      <c r="V173" s="86" t="s">
        <v>191</v>
      </c>
      <c r="W173" s="86"/>
      <c r="X173" s="86"/>
      <c r="Y173" s="86"/>
      <c r="Z173" s="86"/>
      <c r="AA173" s="86"/>
      <c r="AB173" s="86"/>
      <c r="AC173" s="86"/>
      <c r="AD173" s="68">
        <v>2</v>
      </c>
      <c r="AE173" s="68">
        <v>10</v>
      </c>
      <c r="AF173" s="68">
        <v>4</v>
      </c>
      <c r="AG173" s="86"/>
    </row>
    <row r="174" spans="2:33">
      <c r="B174" s="86"/>
      <c r="C174" s="135"/>
      <c r="E174" s="37" t="s">
        <v>160</v>
      </c>
      <c r="F174" s="86">
        <v>0</v>
      </c>
      <c r="G174" s="86">
        <v>0</v>
      </c>
      <c r="H174" s="86">
        <v>0</v>
      </c>
      <c r="I174" s="86">
        <v>0</v>
      </c>
      <c r="J174" s="86">
        <v>0</v>
      </c>
      <c r="K174" s="86">
        <v>0</v>
      </c>
      <c r="L174" s="86">
        <v>0</v>
      </c>
      <c r="M174" s="86"/>
      <c r="N174" s="86"/>
      <c r="O174" s="71">
        <v>52.926482329999999</v>
      </c>
      <c r="P174" s="36" t="s">
        <v>187</v>
      </c>
      <c r="Q174" s="72">
        <f>194.18+5</f>
        <v>199.18</v>
      </c>
      <c r="R174" s="86">
        <v>0</v>
      </c>
      <c r="S174" s="86">
        <v>1</v>
      </c>
      <c r="T174" s="86">
        <v>1</v>
      </c>
      <c r="U174" s="86">
        <v>0</v>
      </c>
      <c r="V174" s="86" t="s">
        <v>184</v>
      </c>
      <c r="W174" s="86"/>
      <c r="X174" s="86"/>
      <c r="Y174" s="86"/>
      <c r="Z174" s="86"/>
      <c r="AA174" s="86"/>
      <c r="AB174" s="86"/>
      <c r="AC174" s="86" t="s">
        <v>192</v>
      </c>
      <c r="AD174" s="86" t="s">
        <v>168</v>
      </c>
      <c r="AE174" s="86" t="s">
        <v>169</v>
      </c>
      <c r="AF174" s="86" t="s">
        <v>170</v>
      </c>
      <c r="AG174" s="86" t="s">
        <v>171</v>
      </c>
    </row>
    <row r="175" spans="2:33">
      <c r="B175" s="86"/>
      <c r="C175" s="135"/>
      <c r="E175" s="86">
        <v>10</v>
      </c>
      <c r="F175" s="72">
        <v>24.16</v>
      </c>
      <c r="G175" s="86">
        <v>8</v>
      </c>
      <c r="H175" s="86">
        <v>0</v>
      </c>
      <c r="I175" s="86">
        <v>4</v>
      </c>
      <c r="J175" s="86">
        <v>0</v>
      </c>
      <c r="K175" s="86">
        <v>0</v>
      </c>
      <c r="L175" s="86">
        <v>0</v>
      </c>
      <c r="M175" s="86"/>
      <c r="N175" s="86"/>
      <c r="O175" s="71">
        <v>63</v>
      </c>
      <c r="P175" s="36" t="s">
        <v>188</v>
      </c>
      <c r="Q175" s="72">
        <f>121.25</f>
        <v>121.25</v>
      </c>
      <c r="R175" s="86">
        <v>1</v>
      </c>
      <c r="S175" s="86">
        <v>0</v>
      </c>
      <c r="T175" s="86">
        <v>0</v>
      </c>
      <c r="U175" s="86">
        <v>0</v>
      </c>
      <c r="V175" s="86" t="s">
        <v>172</v>
      </c>
      <c r="W175" s="86"/>
      <c r="X175" s="86"/>
      <c r="Y175" s="86"/>
      <c r="Z175" s="73"/>
      <c r="AA175" s="86"/>
      <c r="AB175" s="86"/>
      <c r="AC175" s="73" t="e">
        <f>O178</f>
        <v>#REF!</v>
      </c>
      <c r="AD175" s="86" t="e">
        <f>F194</f>
        <v>#REF!</v>
      </c>
      <c r="AE175" s="86" t="e">
        <f>F195</f>
        <v>#REF!</v>
      </c>
      <c r="AF175" s="86" t="e">
        <f>Q178</f>
        <v>#REF!</v>
      </c>
      <c r="AG175" s="86" t="e">
        <f>((AC175+AD175+AE175+AF175)*1.15+82)*1.1</f>
        <v>#REF!</v>
      </c>
    </row>
    <row r="176" spans="2:33">
      <c r="B176" s="86"/>
      <c r="C176" s="135"/>
      <c r="E176" s="86">
        <v>11</v>
      </c>
      <c r="F176" s="72">
        <v>24.16</v>
      </c>
      <c r="G176" s="86">
        <v>8</v>
      </c>
      <c r="H176" s="86">
        <v>0</v>
      </c>
      <c r="I176" s="86">
        <v>2</v>
      </c>
      <c r="J176" s="86">
        <v>0</v>
      </c>
      <c r="K176" s="86">
        <v>2</v>
      </c>
      <c r="L176" s="86">
        <v>0</v>
      </c>
      <c r="M176" s="86"/>
      <c r="N176" s="86"/>
      <c r="O176" s="71">
        <v>63</v>
      </c>
      <c r="P176" s="36" t="s">
        <v>189</v>
      </c>
      <c r="Q176" s="72">
        <f>194.18+5</f>
        <v>199.18</v>
      </c>
      <c r="R176" s="86">
        <v>1</v>
      </c>
      <c r="S176" s="86">
        <v>1</v>
      </c>
      <c r="T176" s="86">
        <v>1</v>
      </c>
      <c r="U176" s="86">
        <v>0</v>
      </c>
      <c r="V176" s="86" t="s">
        <v>185</v>
      </c>
      <c r="W176" s="86"/>
      <c r="X176" s="86"/>
      <c r="Y176" s="86"/>
      <c r="Z176" s="73"/>
      <c r="AA176" s="86"/>
      <c r="AB176" s="86"/>
      <c r="AC176" s="86"/>
      <c r="AD176" s="86"/>
      <c r="AE176" s="86"/>
      <c r="AF176" s="86"/>
      <c r="AG176" s="86"/>
    </row>
    <row r="177" spans="2:33">
      <c r="B177" s="86"/>
      <c r="C177" s="135"/>
      <c r="E177" s="86">
        <v>13</v>
      </c>
      <c r="F177" s="72">
        <v>27.07</v>
      </c>
      <c r="G177" s="86">
        <v>6</v>
      </c>
      <c r="H177" s="86">
        <v>0</v>
      </c>
      <c r="I177" s="86">
        <v>4</v>
      </c>
      <c r="J177" s="86">
        <v>0</v>
      </c>
      <c r="K177" s="86">
        <v>2</v>
      </c>
      <c r="L177" s="86">
        <v>0</v>
      </c>
      <c r="M177" s="86"/>
      <c r="N177" s="86"/>
      <c r="O177" s="37">
        <v>4</v>
      </c>
      <c r="P177" s="74"/>
      <c r="W177" s="86"/>
      <c r="X177" s="86"/>
      <c r="Y177" s="86"/>
      <c r="Z177" s="86"/>
      <c r="AA177" s="86"/>
      <c r="AB177" s="86"/>
      <c r="AC177" s="86"/>
      <c r="AD177" s="86"/>
      <c r="AE177" s="86"/>
      <c r="AF177" s="86"/>
      <c r="AG177" s="86"/>
    </row>
    <row r="178" spans="2:33">
      <c r="B178" s="86"/>
      <c r="C178" s="135"/>
      <c r="E178" s="86">
        <v>20</v>
      </c>
      <c r="F178" s="72">
        <v>24.28</v>
      </c>
      <c r="G178" s="86">
        <v>0</v>
      </c>
      <c r="H178" s="86">
        <v>8</v>
      </c>
      <c r="I178" s="86">
        <v>2</v>
      </c>
      <c r="J178" s="86">
        <v>2</v>
      </c>
      <c r="K178" s="86">
        <v>0</v>
      </c>
      <c r="L178" s="86">
        <v>2</v>
      </c>
      <c r="M178" s="86"/>
      <c r="N178" s="86"/>
      <c r="O178" s="70" t="e">
        <f>IF(P178=P173,52.9265,IF(P178=P174,52.9265,63))</f>
        <v>#REF!</v>
      </c>
      <c r="P178" s="37" t="e">
        <f>#REF!</f>
        <v>#REF!</v>
      </c>
      <c r="Q178" s="86" t="e">
        <f>VLOOKUP(P178,P173:Q176,2,FALSE)</f>
        <v>#REF!</v>
      </c>
      <c r="R178" s="86"/>
      <c r="S178" s="86"/>
      <c r="T178" s="86"/>
      <c r="U178" s="86"/>
      <c r="V178" s="86" t="e">
        <f>VLOOKUP(P178,P173:V176,7,FALSE)</f>
        <v>#REF!</v>
      </c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</row>
    <row r="179" spans="2:33">
      <c r="B179" s="86"/>
      <c r="C179" s="135"/>
      <c r="E179" s="86">
        <v>21</v>
      </c>
      <c r="F179" s="72">
        <v>22.09</v>
      </c>
      <c r="G179" s="86">
        <v>0</v>
      </c>
      <c r="H179" s="86">
        <v>8</v>
      </c>
      <c r="I179" s="86">
        <v>1</v>
      </c>
      <c r="J179" s="86">
        <v>1</v>
      </c>
      <c r="K179" s="86">
        <v>0</v>
      </c>
      <c r="L179" s="86">
        <v>4</v>
      </c>
      <c r="M179" s="86"/>
      <c r="N179" s="86"/>
      <c r="O179" s="86"/>
      <c r="P179" s="75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</row>
    <row r="180" spans="2:33">
      <c r="B180" s="86"/>
      <c r="C180" s="135"/>
      <c r="E180" s="86">
        <v>22</v>
      </c>
      <c r="F180" s="72">
        <v>15.92</v>
      </c>
      <c r="G180" s="86">
        <v>0</v>
      </c>
      <c r="H180" s="86">
        <v>16</v>
      </c>
      <c r="I180" s="86">
        <v>0</v>
      </c>
      <c r="J180" s="86">
        <v>0</v>
      </c>
      <c r="K180" s="86">
        <v>0</v>
      </c>
      <c r="L180" s="86">
        <v>0</v>
      </c>
      <c r="M180" s="86"/>
      <c r="N180" s="86"/>
      <c r="O180" s="86"/>
      <c r="P180" s="73"/>
      <c r="Q180" s="86"/>
      <c r="R180" s="86"/>
      <c r="S180" s="86"/>
      <c r="T180" s="86"/>
      <c r="U180" s="86"/>
      <c r="V180" s="86"/>
      <c r="W180" s="86"/>
      <c r="X180" s="86"/>
      <c r="Y180" s="86"/>
      <c r="Z180" s="86"/>
      <c r="AA180" s="86"/>
      <c r="AB180" s="86"/>
      <c r="AC180" s="86"/>
      <c r="AD180" s="86"/>
      <c r="AE180" s="86"/>
      <c r="AF180" s="86"/>
      <c r="AG180" s="86"/>
    </row>
    <row r="181" spans="2:33">
      <c r="B181" s="86"/>
      <c r="C181" s="135"/>
      <c r="E181" s="86">
        <v>30</v>
      </c>
      <c r="F181" s="72">
        <v>25.68</v>
      </c>
      <c r="G181" s="86">
        <v>0</v>
      </c>
      <c r="H181" s="86">
        <v>0</v>
      </c>
      <c r="I181" s="86">
        <v>12</v>
      </c>
      <c r="J181" s="86">
        <v>0</v>
      </c>
      <c r="K181" s="86">
        <v>0</v>
      </c>
      <c r="L181" s="86">
        <v>0</v>
      </c>
      <c r="M181" s="86"/>
      <c r="N181" s="86"/>
      <c r="P181" s="75"/>
      <c r="W181" s="86"/>
      <c r="X181" s="86"/>
      <c r="Y181" s="86"/>
      <c r="Z181" s="86"/>
      <c r="AA181" s="86"/>
      <c r="AB181" s="86"/>
      <c r="AC181" s="86"/>
      <c r="AD181" s="86"/>
      <c r="AE181" s="86"/>
      <c r="AF181" s="86"/>
      <c r="AG181" s="86"/>
    </row>
    <row r="182" spans="2:33">
      <c r="B182" s="86"/>
      <c r="C182" s="135"/>
      <c r="E182" s="86">
        <v>33</v>
      </c>
      <c r="F182" s="72">
        <v>27.75</v>
      </c>
      <c r="G182" s="86">
        <v>0</v>
      </c>
      <c r="H182" s="86">
        <v>0</v>
      </c>
      <c r="I182" s="86">
        <v>8</v>
      </c>
      <c r="J182" s="86">
        <v>0</v>
      </c>
      <c r="K182" s="86">
        <v>4</v>
      </c>
      <c r="L182" s="86">
        <v>0</v>
      </c>
      <c r="M182" s="86"/>
      <c r="N182" s="86"/>
      <c r="O182" s="134"/>
      <c r="P182" s="134"/>
      <c r="Q182" s="86"/>
      <c r="R182" s="86"/>
      <c r="S182" s="86"/>
      <c r="T182" s="86"/>
      <c r="U182" s="86"/>
      <c r="V182" s="86"/>
      <c r="W182" s="86"/>
      <c r="X182" s="86"/>
      <c r="Y182" s="86"/>
      <c r="Z182" s="86"/>
      <c r="AA182" s="86"/>
      <c r="AB182" s="86"/>
      <c r="AC182" s="86"/>
      <c r="AD182" s="86"/>
      <c r="AE182" s="86"/>
      <c r="AF182" s="86"/>
      <c r="AG182" s="86"/>
    </row>
    <row r="183" spans="2:33">
      <c r="B183" s="86"/>
      <c r="C183" s="135"/>
      <c r="E183" s="86">
        <v>34</v>
      </c>
      <c r="F183" s="72">
        <v>31.92</v>
      </c>
      <c r="G183" s="86">
        <v>0</v>
      </c>
      <c r="H183" s="86">
        <v>0</v>
      </c>
      <c r="I183" s="86">
        <v>8</v>
      </c>
      <c r="J183" s="86">
        <v>4</v>
      </c>
      <c r="K183" s="86">
        <v>0</v>
      </c>
      <c r="L183" s="86">
        <v>0</v>
      </c>
      <c r="M183" s="86"/>
      <c r="N183" s="86"/>
      <c r="O183" s="86"/>
      <c r="P183" s="69"/>
      <c r="Q183" s="86"/>
      <c r="R183" s="86"/>
      <c r="S183" s="86"/>
      <c r="T183" s="86"/>
      <c r="U183" s="86"/>
      <c r="V183" s="86"/>
      <c r="W183" s="86"/>
      <c r="X183" s="86"/>
      <c r="Y183" s="86"/>
      <c r="Z183" s="86"/>
      <c r="AA183" s="86"/>
      <c r="AB183" s="86"/>
      <c r="AC183" s="86"/>
      <c r="AD183" s="86"/>
      <c r="AE183" s="86"/>
      <c r="AF183" s="86"/>
      <c r="AG183" s="86"/>
    </row>
    <row r="184" spans="2:33">
      <c r="B184" s="86"/>
      <c r="C184" s="135"/>
      <c r="D184" s="86"/>
      <c r="E184" s="72"/>
      <c r="F184" s="86"/>
      <c r="G184" s="86"/>
      <c r="H184" s="86"/>
      <c r="I184" s="86"/>
      <c r="J184" s="86"/>
      <c r="K184" s="86"/>
      <c r="L184" s="86"/>
      <c r="M184" s="86"/>
      <c r="N184" s="86"/>
      <c r="O184" s="86"/>
      <c r="P184" s="86"/>
      <c r="Q184" s="86"/>
      <c r="R184" s="86"/>
      <c r="S184" s="86"/>
      <c r="T184" s="86"/>
      <c r="U184" s="86"/>
      <c r="V184" s="86"/>
      <c r="W184" s="86"/>
      <c r="X184" s="86"/>
      <c r="Y184" s="86"/>
      <c r="Z184" s="86"/>
      <c r="AA184" s="86"/>
      <c r="AB184" s="86"/>
      <c r="AC184" s="86"/>
      <c r="AD184" s="86"/>
      <c r="AE184" s="86"/>
      <c r="AF184" s="86"/>
      <c r="AG184" s="86"/>
    </row>
    <row r="185" spans="2:33">
      <c r="B185" s="86"/>
      <c r="C185" s="135"/>
      <c r="D185" s="86"/>
      <c r="M185" s="86"/>
      <c r="N185" s="86"/>
      <c r="O185" s="86"/>
      <c r="P185" s="86"/>
      <c r="Q185" s="86"/>
      <c r="R185" s="86"/>
      <c r="S185" s="86"/>
      <c r="T185" s="86"/>
      <c r="U185" s="86"/>
      <c r="V185" s="86"/>
      <c r="W185" s="86"/>
      <c r="X185" s="86"/>
      <c r="Y185" s="86"/>
      <c r="Z185" s="86"/>
      <c r="AA185" s="86"/>
      <c r="AB185" s="86"/>
      <c r="AC185" s="86"/>
      <c r="AD185" s="86"/>
      <c r="AE185" s="86"/>
      <c r="AF185" s="86"/>
      <c r="AG185" s="86"/>
    </row>
    <row r="186" spans="2:33">
      <c r="B186" s="86"/>
      <c r="C186" s="135"/>
      <c r="D186" s="86"/>
      <c r="M186" s="86"/>
      <c r="N186" s="86"/>
      <c r="O186" s="86"/>
      <c r="P186" s="86"/>
      <c r="Q186" s="86"/>
      <c r="R186" s="86"/>
      <c r="S186" s="86"/>
      <c r="T186" s="86"/>
      <c r="U186" s="86"/>
      <c r="V186" s="86"/>
      <c r="W186" s="86"/>
      <c r="X186" s="86"/>
      <c r="Y186" s="86"/>
      <c r="Z186" s="86"/>
      <c r="AA186" s="86"/>
      <c r="AB186" s="86"/>
      <c r="AC186" s="86"/>
      <c r="AD186" s="86"/>
      <c r="AE186" s="86"/>
      <c r="AF186" s="86"/>
      <c r="AG186" s="86"/>
    </row>
    <row r="187" spans="2:33">
      <c r="B187" s="86"/>
      <c r="C187" s="135"/>
      <c r="D187" s="86"/>
      <c r="E187" s="72"/>
      <c r="F187" s="86"/>
      <c r="G187" s="86"/>
      <c r="H187" s="86"/>
      <c r="I187" s="86"/>
      <c r="J187" s="86"/>
      <c r="K187" s="86"/>
      <c r="L187" s="86"/>
      <c r="M187" s="86"/>
      <c r="N187" s="86"/>
      <c r="O187" s="86"/>
      <c r="P187" s="86"/>
      <c r="Q187" s="86"/>
      <c r="R187" s="86"/>
      <c r="S187" s="86"/>
      <c r="T187" s="86"/>
      <c r="U187" s="86"/>
      <c r="V187" s="86"/>
      <c r="W187" s="86"/>
      <c r="X187" s="86"/>
      <c r="Y187" s="86"/>
      <c r="Z187" s="86"/>
      <c r="AA187" s="86"/>
      <c r="AB187" s="86"/>
      <c r="AC187" s="86"/>
      <c r="AD187" s="86"/>
      <c r="AE187" s="86"/>
      <c r="AF187" s="86"/>
      <c r="AG187" s="86"/>
    </row>
    <row r="188" spans="2:33">
      <c r="B188" s="86"/>
      <c r="C188" s="135"/>
      <c r="D188" s="86"/>
      <c r="E188" s="76"/>
      <c r="F188" s="86"/>
      <c r="G188" s="86"/>
      <c r="H188" s="86"/>
      <c r="I188" s="86"/>
      <c r="J188" s="86"/>
      <c r="K188" s="86"/>
      <c r="L188" s="86"/>
      <c r="M188" s="86"/>
      <c r="N188" s="86"/>
      <c r="O188" s="86"/>
      <c r="P188" s="86"/>
      <c r="Q188" s="86"/>
      <c r="R188" s="86"/>
      <c r="S188" s="86"/>
      <c r="T188" s="86"/>
      <c r="U188" s="86"/>
      <c r="V188" s="86"/>
      <c r="W188" s="86"/>
      <c r="X188" s="86"/>
      <c r="Y188" s="86"/>
      <c r="Z188" s="86"/>
      <c r="AA188" s="86"/>
      <c r="AB188" s="86"/>
      <c r="AC188" s="86"/>
      <c r="AD188" s="86"/>
      <c r="AE188" s="86"/>
      <c r="AF188" s="86"/>
      <c r="AG188" s="86"/>
    </row>
    <row r="189" spans="2:33">
      <c r="B189" s="86"/>
      <c r="C189" s="135"/>
      <c r="D189" s="86"/>
      <c r="E189" s="72"/>
      <c r="F189" s="86"/>
      <c r="G189" s="86"/>
      <c r="H189" s="86"/>
      <c r="I189" s="86"/>
      <c r="J189" s="86"/>
      <c r="K189" s="86"/>
      <c r="L189" s="86"/>
      <c r="M189" s="86"/>
      <c r="N189" s="86"/>
      <c r="O189" s="86"/>
      <c r="P189" s="86"/>
      <c r="Q189" s="86"/>
      <c r="R189" s="86"/>
      <c r="S189" s="86"/>
      <c r="T189" s="86"/>
      <c r="U189" s="86"/>
      <c r="V189" s="86"/>
      <c r="W189" s="86"/>
      <c r="X189" s="86"/>
      <c r="Y189" s="86"/>
      <c r="Z189" s="86"/>
      <c r="AA189" s="86"/>
      <c r="AB189" s="86"/>
      <c r="AC189" s="86"/>
      <c r="AD189" s="86"/>
      <c r="AE189" s="86"/>
      <c r="AF189" s="86"/>
      <c r="AG189" s="86"/>
    </row>
    <row r="190" spans="2:33">
      <c r="B190" s="86"/>
      <c r="C190" s="135"/>
      <c r="D190" s="86"/>
      <c r="E190" s="72"/>
      <c r="F190" s="86"/>
      <c r="G190" s="86"/>
      <c r="H190" s="86"/>
      <c r="I190" s="86"/>
      <c r="J190" s="86"/>
      <c r="K190" s="86"/>
      <c r="L190" s="86"/>
      <c r="M190" s="86"/>
      <c r="N190" s="86"/>
      <c r="O190" s="86"/>
      <c r="P190" s="86"/>
      <c r="Q190" s="86"/>
      <c r="R190" s="86"/>
      <c r="S190" s="86"/>
      <c r="T190" s="86"/>
      <c r="U190" s="86"/>
      <c r="V190" s="86"/>
      <c r="W190" s="86"/>
      <c r="X190" s="86"/>
      <c r="Y190" s="86"/>
      <c r="Z190" s="86"/>
      <c r="AA190" s="86"/>
      <c r="AB190" s="86"/>
      <c r="AC190" s="86"/>
      <c r="AD190" s="86"/>
      <c r="AE190" s="86"/>
      <c r="AF190" s="86"/>
      <c r="AG190" s="86"/>
    </row>
    <row r="191" spans="2:33">
      <c r="B191" s="86"/>
      <c r="C191" s="135"/>
      <c r="D191" s="86"/>
      <c r="E191" s="72"/>
      <c r="F191" s="86"/>
      <c r="G191" s="86"/>
      <c r="H191" s="86"/>
      <c r="I191" s="86"/>
      <c r="J191" s="86"/>
      <c r="K191" s="86"/>
      <c r="L191" s="86"/>
      <c r="M191" s="86"/>
      <c r="N191" s="86"/>
      <c r="Q191" s="86"/>
      <c r="R191" s="86"/>
      <c r="S191" s="86"/>
      <c r="T191" s="86"/>
      <c r="U191" s="86"/>
      <c r="V191" s="86"/>
      <c r="W191" s="86"/>
      <c r="X191" s="86"/>
      <c r="Y191" s="86"/>
      <c r="Z191" s="86"/>
      <c r="AA191" s="86"/>
      <c r="AB191" s="86"/>
      <c r="AC191" s="86"/>
      <c r="AD191" s="86"/>
      <c r="AE191" s="86"/>
      <c r="AF191" s="86"/>
      <c r="AG191" s="86"/>
    </row>
    <row r="192" spans="2:33">
      <c r="B192" s="86"/>
      <c r="C192" s="86"/>
      <c r="D192" s="86"/>
      <c r="E192" s="86"/>
      <c r="F192" s="86"/>
      <c r="M192" s="86"/>
      <c r="N192" s="86"/>
      <c r="O192" s="86"/>
      <c r="P192" s="86"/>
      <c r="Q192" s="86"/>
      <c r="R192" s="86"/>
      <c r="S192" s="86"/>
      <c r="T192" s="86"/>
      <c r="U192" s="86"/>
      <c r="V192" s="86"/>
      <c r="W192" s="86"/>
      <c r="X192" s="86"/>
      <c r="Y192" s="86"/>
      <c r="Z192" s="86"/>
      <c r="AA192" s="86"/>
      <c r="AB192" s="86"/>
      <c r="AC192" s="86"/>
      <c r="AD192" s="86"/>
      <c r="AE192" s="86"/>
      <c r="AF192" s="86"/>
      <c r="AG192" s="86"/>
    </row>
    <row r="193" spans="2:33">
      <c r="B193" s="86"/>
      <c r="C193" s="86"/>
      <c r="D193" s="86"/>
      <c r="E193" s="69"/>
      <c r="F193" s="69"/>
      <c r="G193" s="69"/>
      <c r="H193" s="69"/>
      <c r="I193" s="69"/>
      <c r="J193" s="69"/>
      <c r="K193" s="69"/>
      <c r="L193" s="69"/>
      <c r="M193" s="86"/>
      <c r="N193" s="86"/>
      <c r="O193" s="86"/>
      <c r="P193" s="86"/>
      <c r="Q193" s="86"/>
      <c r="R193" s="86"/>
      <c r="S193" s="86"/>
      <c r="T193" s="86"/>
      <c r="U193" s="86"/>
      <c r="V193" s="86"/>
      <c r="W193" s="86"/>
      <c r="X193" s="86"/>
      <c r="Y193" s="86"/>
      <c r="Z193" s="86"/>
      <c r="AA193" s="86"/>
      <c r="AB193" s="86"/>
      <c r="AC193" s="86"/>
      <c r="AD193" s="86"/>
      <c r="AE193" s="86"/>
      <c r="AF193" s="86"/>
      <c r="AG193" s="86"/>
    </row>
    <row r="194" spans="2:33">
      <c r="B194" s="86"/>
      <c r="C194" s="86"/>
      <c r="D194" s="86"/>
      <c r="E194" s="86" t="e">
        <f>#REF!</f>
        <v>#REF!</v>
      </c>
      <c r="F194" s="86" t="e">
        <f>VLOOKUP(E194,E174:F183,2,FALSE)</f>
        <v>#REF!</v>
      </c>
      <c r="G194" s="86" t="e">
        <f>VLOOKUP(E194,E174:G183,3,)</f>
        <v>#REF!</v>
      </c>
      <c r="H194" s="86" t="e">
        <f>VLOOKUP(E194,E174:H183,4,)</f>
        <v>#REF!</v>
      </c>
      <c r="I194" s="86" t="e">
        <f>VLOOKUP(E194,E174:I183,5,)</f>
        <v>#REF!</v>
      </c>
      <c r="J194" s="86" t="e">
        <f>VLOOKUP(E194,E174:J183,6,)</f>
        <v>#REF!</v>
      </c>
      <c r="K194" s="86" t="e">
        <f>VLOOKUP(E194,E174:K183,7,)</f>
        <v>#REF!</v>
      </c>
      <c r="L194" s="86" t="e">
        <f>VLOOKUP(E194,E174:L183,8,)</f>
        <v>#REF!</v>
      </c>
      <c r="M194" s="86"/>
      <c r="N194" s="86"/>
      <c r="O194" s="86"/>
      <c r="P194" s="86"/>
      <c r="Q194" s="86"/>
      <c r="R194" s="86"/>
      <c r="S194" s="86"/>
      <c r="T194" s="86"/>
      <c r="U194" s="86"/>
      <c r="V194" s="86"/>
      <c r="W194" s="86"/>
      <c r="X194" s="86"/>
      <c r="Y194" s="86"/>
      <c r="Z194" s="86"/>
      <c r="AA194" s="86"/>
      <c r="AB194" s="86"/>
      <c r="AC194" s="86"/>
      <c r="AD194" s="86"/>
      <c r="AE194" s="86"/>
      <c r="AF194" s="86"/>
      <c r="AG194" s="86"/>
    </row>
    <row r="195" spans="2:33">
      <c r="B195" s="86"/>
      <c r="C195" s="86"/>
      <c r="D195" s="86"/>
      <c r="E195" s="86" t="e">
        <f>#REF!</f>
        <v>#REF!</v>
      </c>
      <c r="F195" s="86" t="e">
        <f>VLOOKUP(E195,E174:F184,2,FALSE)</f>
        <v>#REF!</v>
      </c>
      <c r="G195" s="86" t="e">
        <f>VLOOKUP(E195,E174:G184,3,)</f>
        <v>#REF!</v>
      </c>
      <c r="H195" s="86" t="e">
        <f>VLOOKUP(E195,E174:H184,4,)</f>
        <v>#REF!</v>
      </c>
      <c r="I195" s="86" t="e">
        <f>VLOOKUP(E195,E174:I184,5,)</f>
        <v>#REF!</v>
      </c>
      <c r="J195" s="86" t="e">
        <f>VLOOKUP(E195,E174:J184,6,)</f>
        <v>#REF!</v>
      </c>
      <c r="K195" s="86" t="e">
        <f>VLOOKUP(E195,E174:K184,7,)</f>
        <v>#REF!</v>
      </c>
      <c r="L195" s="86" t="e">
        <f>VLOOKUP(E195,E174:L184,8,)</f>
        <v>#REF!</v>
      </c>
      <c r="M195" s="86"/>
      <c r="N195" s="86"/>
      <c r="O195" s="86"/>
      <c r="P195" s="86"/>
      <c r="Q195" s="86"/>
      <c r="R195" s="86"/>
      <c r="S195" s="86"/>
      <c r="T195" s="86"/>
      <c r="U195" s="86"/>
      <c r="V195" s="86"/>
      <c r="W195" s="86"/>
      <c r="X195" s="86"/>
      <c r="Y195" s="86"/>
      <c r="Z195" s="86"/>
      <c r="AA195" s="86"/>
      <c r="AB195" s="86"/>
      <c r="AC195" s="86"/>
      <c r="AD195" s="86"/>
      <c r="AE195" s="86"/>
      <c r="AF195" s="86"/>
      <c r="AG195" s="86"/>
    </row>
    <row r="196" spans="2:33">
      <c r="B196" s="86"/>
      <c r="C196" s="86"/>
      <c r="D196" s="86"/>
      <c r="E196" s="86"/>
      <c r="F196" s="86"/>
      <c r="G196" s="86" t="e">
        <f>G194+G195</f>
        <v>#REF!</v>
      </c>
      <c r="H196" s="86" t="e">
        <f>H194+H195</f>
        <v>#REF!</v>
      </c>
      <c r="I196" s="86" t="e">
        <f>I194+I195</f>
        <v>#REF!</v>
      </c>
      <c r="J196" s="86" t="e">
        <f>J194+J195</f>
        <v>#REF!</v>
      </c>
      <c r="K196" s="86" t="e">
        <f>K195+K194</f>
        <v>#REF!</v>
      </c>
      <c r="L196" s="86" t="e">
        <f>L194+L195</f>
        <v>#REF!</v>
      </c>
      <c r="M196" s="86"/>
      <c r="N196" s="86"/>
      <c r="O196" s="86"/>
      <c r="P196" s="86"/>
      <c r="Q196" s="86"/>
      <c r="R196" s="86"/>
      <c r="S196" s="86"/>
      <c r="T196" s="86"/>
      <c r="U196" s="86"/>
      <c r="V196" s="86"/>
      <c r="W196" s="86"/>
      <c r="X196" s="86"/>
      <c r="Y196" s="86"/>
      <c r="Z196" s="86"/>
      <c r="AA196" s="86"/>
      <c r="AB196" s="86"/>
      <c r="AC196" s="86"/>
      <c r="AD196" s="86"/>
      <c r="AE196" s="86"/>
      <c r="AF196" s="86"/>
      <c r="AG196" s="86"/>
    </row>
    <row r="197" spans="2:33">
      <c r="B197" s="86"/>
      <c r="C197" s="86"/>
      <c r="D197" s="86"/>
      <c r="E197" s="86"/>
      <c r="F197" s="86"/>
      <c r="G197" s="86"/>
      <c r="H197" s="86"/>
      <c r="I197" s="86"/>
      <c r="J197" s="86"/>
      <c r="K197" s="86"/>
      <c r="L197" s="86"/>
      <c r="M197" s="86"/>
      <c r="N197" s="86"/>
      <c r="O197" s="86"/>
      <c r="P197" s="86"/>
      <c r="Q197" s="86"/>
      <c r="R197" s="86"/>
      <c r="S197" s="86"/>
      <c r="T197" s="86"/>
      <c r="U197" s="86"/>
      <c r="V197" s="86"/>
      <c r="W197" s="86"/>
      <c r="X197" s="86"/>
      <c r="Y197" s="86"/>
      <c r="Z197" s="86"/>
      <c r="AA197" s="86"/>
      <c r="AB197" s="86"/>
      <c r="AC197" s="86"/>
      <c r="AD197" s="86"/>
      <c r="AE197" s="86"/>
      <c r="AF197" s="86"/>
      <c r="AG197" s="86"/>
    </row>
    <row r="213" spans="2:32">
      <c r="B213" s="86"/>
      <c r="C213" s="86"/>
      <c r="D213" s="86"/>
      <c r="E213" s="86"/>
      <c r="F213" s="86"/>
      <c r="G213" s="86"/>
      <c r="H213" s="86"/>
      <c r="I213" s="86"/>
      <c r="J213" s="86"/>
      <c r="K213" s="86"/>
      <c r="L213" s="86"/>
      <c r="M213" s="86"/>
      <c r="N213" s="86"/>
      <c r="O213" s="86"/>
      <c r="P213" s="86"/>
      <c r="Q213" s="86"/>
      <c r="R213" s="86"/>
      <c r="S213" s="86"/>
      <c r="T213" s="86"/>
      <c r="U213" s="86"/>
      <c r="V213" s="86"/>
      <c r="W213" s="86"/>
      <c r="X213" s="86"/>
      <c r="Y213" s="86"/>
      <c r="Z213" s="86"/>
      <c r="AA213" s="86"/>
      <c r="AB213" s="86"/>
      <c r="AC213" s="86"/>
      <c r="AD213" s="86"/>
      <c r="AE213" s="86"/>
      <c r="AF213" s="86"/>
    </row>
    <row r="214" spans="2:32">
      <c r="B214" s="86"/>
      <c r="C214" s="86"/>
      <c r="D214" s="86"/>
      <c r="E214" s="86"/>
      <c r="F214" s="86"/>
      <c r="G214" s="86"/>
      <c r="H214" s="86"/>
      <c r="I214" s="86"/>
      <c r="J214" s="86"/>
      <c r="K214" s="86"/>
      <c r="L214" s="86"/>
      <c r="M214" s="86"/>
      <c r="N214" s="86"/>
      <c r="O214" s="86"/>
      <c r="P214" s="86"/>
      <c r="Q214" s="86"/>
      <c r="R214" s="86"/>
      <c r="S214" s="86"/>
      <c r="T214" s="86"/>
      <c r="U214" s="86"/>
      <c r="V214" s="86"/>
      <c r="W214" s="86"/>
      <c r="X214" s="86"/>
      <c r="Y214" s="86"/>
      <c r="Z214" s="86"/>
      <c r="AA214" s="86"/>
      <c r="AB214" s="86"/>
      <c r="AC214" s="86"/>
      <c r="AD214" s="86"/>
      <c r="AE214" s="86"/>
      <c r="AF214" s="86"/>
    </row>
    <row r="215" spans="2:32">
      <c r="B215" s="86"/>
      <c r="C215" s="86"/>
      <c r="D215" s="86"/>
      <c r="E215" s="86"/>
      <c r="F215" s="86"/>
      <c r="G215" s="86"/>
      <c r="H215" s="86"/>
      <c r="I215" s="86"/>
      <c r="J215" s="86"/>
      <c r="K215" s="86"/>
      <c r="L215" s="86"/>
      <c r="M215" s="86"/>
      <c r="N215" s="86"/>
      <c r="O215" s="86"/>
      <c r="P215" s="86"/>
      <c r="Q215" s="86"/>
      <c r="R215" s="86"/>
      <c r="S215" s="86"/>
      <c r="T215" s="86"/>
      <c r="U215" s="86"/>
      <c r="V215" s="86"/>
      <c r="W215" s="86"/>
      <c r="X215" s="86"/>
      <c r="Y215" s="86"/>
      <c r="Z215" s="86"/>
      <c r="AA215" s="86"/>
      <c r="AB215" s="86"/>
      <c r="AC215" s="134"/>
      <c r="AD215" s="134"/>
      <c r="AE215" s="134"/>
      <c r="AF215" s="134"/>
    </row>
    <row r="216" spans="2:32">
      <c r="B216" s="86"/>
      <c r="C216" s="135"/>
      <c r="D216" s="86"/>
      <c r="E216" s="69"/>
      <c r="F216" s="69"/>
      <c r="G216" s="69"/>
      <c r="H216" s="69"/>
      <c r="I216" s="69"/>
      <c r="J216" s="69"/>
      <c r="K216" s="69"/>
      <c r="L216" s="69"/>
      <c r="M216" s="86"/>
      <c r="N216" s="86"/>
      <c r="O216" s="86"/>
      <c r="P216" s="69"/>
      <c r="Q216" s="69"/>
      <c r="R216" s="69"/>
      <c r="S216" s="69"/>
      <c r="T216" s="69"/>
      <c r="U216" s="69"/>
      <c r="V216" s="69"/>
      <c r="W216" s="86"/>
      <c r="X216" s="86"/>
      <c r="Y216" s="86"/>
      <c r="Z216" s="86"/>
      <c r="AA216" s="86"/>
      <c r="AB216" s="86"/>
      <c r="AC216" s="86"/>
      <c r="AD216" s="68">
        <v>1</v>
      </c>
      <c r="AE216" s="68">
        <v>1</v>
      </c>
      <c r="AF216" s="86">
        <f>IF(OR(AND(AD216=1,AE216=1),AND(AD216=1,AE216=5),AND(AD216=1,AE216=6),AND(AD216=4,AE216=5),AND(AD216=4,AE216=6),AND(AD216=8,AE216=7),AND(AD216=8,AE216=8),AND(AD216=7,AE216=7)),1.1,1)</f>
        <v>1.1000000000000001</v>
      </c>
    </row>
    <row r="217" spans="2:32">
      <c r="B217" s="86"/>
      <c r="C217" s="135"/>
      <c r="D217" s="70">
        <v>0</v>
      </c>
      <c r="E217" s="72">
        <v>0</v>
      </c>
      <c r="F217" s="37" t="s">
        <v>160</v>
      </c>
      <c r="G217" s="86">
        <v>0</v>
      </c>
      <c r="H217" s="86">
        <v>0</v>
      </c>
      <c r="I217" s="86">
        <v>0</v>
      </c>
      <c r="J217" s="86">
        <v>0</v>
      </c>
      <c r="K217" s="86">
        <v>0</v>
      </c>
      <c r="L217" s="86">
        <v>0</v>
      </c>
      <c r="M217" s="86"/>
      <c r="N217" s="86"/>
      <c r="O217" s="86"/>
      <c r="P217" s="72"/>
      <c r="Q217" s="86"/>
      <c r="R217" s="86"/>
      <c r="S217" s="86"/>
      <c r="T217" s="86"/>
      <c r="U217" s="86"/>
      <c r="V217" s="86"/>
      <c r="W217" s="86"/>
      <c r="X217" s="86"/>
      <c r="Y217" s="86"/>
      <c r="Z217" s="86"/>
      <c r="AA217" s="86"/>
      <c r="AB217" s="86"/>
      <c r="AC217" s="86"/>
      <c r="AD217" s="86"/>
      <c r="AE217" s="86"/>
      <c r="AF217" s="86"/>
    </row>
    <row r="218" spans="2:32">
      <c r="B218" s="86"/>
      <c r="C218" s="135"/>
      <c r="D218" s="86">
        <v>1</v>
      </c>
      <c r="E218" s="72">
        <v>24.11</v>
      </c>
      <c r="F218" s="86">
        <v>10</v>
      </c>
      <c r="G218" s="86">
        <v>8</v>
      </c>
      <c r="H218" s="86">
        <v>0</v>
      </c>
      <c r="I218" s="86">
        <v>4</v>
      </c>
      <c r="J218" s="86">
        <v>0</v>
      </c>
      <c r="K218" s="86">
        <v>0</v>
      </c>
      <c r="L218" s="86">
        <v>0</v>
      </c>
      <c r="M218" s="86"/>
      <c r="N218" s="86"/>
      <c r="O218" s="86"/>
      <c r="P218" s="72"/>
      <c r="Q218" s="86"/>
      <c r="R218" s="86"/>
      <c r="S218" s="86"/>
      <c r="T218" s="86"/>
      <c r="U218" s="86"/>
      <c r="V218" s="86"/>
      <c r="W218" s="86"/>
      <c r="X218" s="86"/>
      <c r="Y218" s="86"/>
      <c r="Z218" s="86"/>
      <c r="AA218" s="86"/>
      <c r="AB218" s="86"/>
      <c r="AC218" s="86">
        <v>92.296742170000002</v>
      </c>
      <c r="AD218" s="86">
        <f>VLOOKUP(AD216,D217:E234,2,)</f>
        <v>24.11</v>
      </c>
      <c r="AE218" s="86">
        <f>VLOOKUP(AE216,D217:E234,2,FALSE)</f>
        <v>24.11</v>
      </c>
      <c r="AF218" s="86">
        <f>(AC218+AD218+AE218)*AF216</f>
        <v>154.56841638699998</v>
      </c>
    </row>
    <row r="219" spans="2:32">
      <c r="B219" s="86"/>
      <c r="C219" s="135"/>
      <c r="D219" s="86">
        <v>2</v>
      </c>
      <c r="E219" s="72">
        <v>24.11</v>
      </c>
      <c r="F219" s="86">
        <v>11</v>
      </c>
      <c r="G219" s="86">
        <v>8</v>
      </c>
      <c r="H219" s="86">
        <v>0</v>
      </c>
      <c r="I219" s="86">
        <v>2</v>
      </c>
      <c r="J219" s="86">
        <v>0</v>
      </c>
      <c r="K219" s="86">
        <v>2</v>
      </c>
      <c r="L219" s="86">
        <v>0</v>
      </c>
      <c r="M219" s="86"/>
      <c r="N219" s="86"/>
      <c r="O219" s="86"/>
      <c r="P219" s="72"/>
      <c r="Q219" s="86"/>
      <c r="R219" s="86"/>
      <c r="S219" s="86"/>
      <c r="T219" s="86"/>
      <c r="U219" s="86"/>
      <c r="V219" s="86"/>
      <c r="W219" s="86"/>
      <c r="X219" s="86"/>
      <c r="Y219" s="86"/>
      <c r="Z219" s="72"/>
      <c r="AA219" s="86"/>
      <c r="AB219" s="86"/>
      <c r="AC219" s="86"/>
      <c r="AD219" s="86"/>
      <c r="AE219" s="86"/>
      <c r="AF219" s="86"/>
    </row>
    <row r="220" spans="2:32">
      <c r="B220" s="86"/>
      <c r="C220" s="135"/>
      <c r="D220" s="86">
        <v>3</v>
      </c>
      <c r="E220" s="72">
        <v>27.07</v>
      </c>
      <c r="F220" s="86">
        <v>12</v>
      </c>
      <c r="G220" s="86">
        <v>6</v>
      </c>
      <c r="H220" s="86">
        <v>0</v>
      </c>
      <c r="I220" s="86">
        <v>6</v>
      </c>
      <c r="J220" s="86">
        <v>0</v>
      </c>
      <c r="K220" s="86">
        <v>0</v>
      </c>
      <c r="L220" s="86">
        <v>0</v>
      </c>
      <c r="M220" s="86"/>
      <c r="N220" s="86"/>
      <c r="O220" s="86"/>
      <c r="P220" s="72"/>
      <c r="Q220" s="86"/>
      <c r="R220" s="86"/>
      <c r="S220" s="86"/>
      <c r="T220" s="86"/>
      <c r="U220" s="86"/>
      <c r="V220" s="86"/>
      <c r="W220" s="86"/>
      <c r="X220" s="86"/>
      <c r="Y220" s="86"/>
      <c r="Z220" s="86"/>
      <c r="AA220" s="86"/>
      <c r="AB220" s="86"/>
      <c r="AC220" s="86"/>
      <c r="AD220" s="86"/>
      <c r="AE220" s="86"/>
      <c r="AF220" s="86"/>
    </row>
    <row r="221" spans="2:32">
      <c r="B221" s="86"/>
      <c r="C221" s="135"/>
      <c r="D221" s="86">
        <v>4</v>
      </c>
      <c r="E221" s="72">
        <v>27.07</v>
      </c>
      <c r="F221" s="86">
        <v>13</v>
      </c>
      <c r="G221" s="86">
        <v>6</v>
      </c>
      <c r="H221" s="86">
        <v>0</v>
      </c>
      <c r="I221" s="86">
        <v>4</v>
      </c>
      <c r="J221" s="86">
        <v>0</v>
      </c>
      <c r="K221" s="86">
        <v>2</v>
      </c>
      <c r="L221" s="86">
        <v>0</v>
      </c>
      <c r="M221" s="86"/>
      <c r="N221" s="86"/>
      <c r="O221" s="86"/>
      <c r="P221" s="72"/>
      <c r="Q221" s="86"/>
      <c r="R221" s="86"/>
      <c r="S221" s="86"/>
      <c r="T221" s="86"/>
      <c r="U221" s="86"/>
      <c r="V221" s="86"/>
      <c r="W221" s="86"/>
      <c r="X221" s="86"/>
      <c r="Y221" s="86"/>
      <c r="Z221" s="86"/>
      <c r="AA221" s="86"/>
      <c r="AB221" s="86"/>
      <c r="AC221" s="86"/>
      <c r="AD221" s="86"/>
      <c r="AE221" s="86"/>
      <c r="AF221" s="86"/>
    </row>
    <row r="222" spans="2:32">
      <c r="B222" s="86"/>
      <c r="C222" s="135"/>
      <c r="D222" s="70">
        <v>5</v>
      </c>
      <c r="E222" s="72">
        <v>24.35</v>
      </c>
      <c r="F222" s="86">
        <v>20</v>
      </c>
      <c r="G222" s="86">
        <v>0</v>
      </c>
      <c r="H222" s="86">
        <v>8</v>
      </c>
      <c r="I222" s="86">
        <v>2</v>
      </c>
      <c r="J222" s="86">
        <v>2</v>
      </c>
      <c r="K222" s="86">
        <v>0</v>
      </c>
      <c r="L222" s="86">
        <v>2</v>
      </c>
      <c r="M222" s="86"/>
      <c r="N222" s="86"/>
      <c r="O222" s="86"/>
      <c r="P222" s="72"/>
      <c r="Q222" s="86"/>
      <c r="R222" s="86"/>
      <c r="S222" s="86"/>
      <c r="T222" s="86"/>
      <c r="U222" s="86"/>
      <c r="V222" s="86"/>
      <c r="W222" s="86"/>
      <c r="X222" s="86"/>
      <c r="Y222" s="86"/>
      <c r="Z222" s="86"/>
      <c r="AA222" s="86"/>
      <c r="AB222" s="86"/>
      <c r="AC222" s="86"/>
      <c r="AD222" s="86"/>
      <c r="AE222" s="86"/>
      <c r="AF222" s="86"/>
    </row>
    <row r="223" spans="2:32">
      <c r="B223" s="86"/>
      <c r="C223" s="135"/>
      <c r="D223" s="86">
        <v>6</v>
      </c>
      <c r="E223" s="72">
        <v>22.21</v>
      </c>
      <c r="F223" s="86">
        <v>21</v>
      </c>
      <c r="G223" s="86">
        <v>0</v>
      </c>
      <c r="H223" s="86">
        <v>8</v>
      </c>
      <c r="I223" s="86">
        <v>1</v>
      </c>
      <c r="J223" s="86">
        <v>1</v>
      </c>
      <c r="K223" s="86">
        <v>0</v>
      </c>
      <c r="L223" s="86">
        <v>4</v>
      </c>
      <c r="M223" s="86"/>
      <c r="N223" s="86"/>
      <c r="O223" s="86"/>
      <c r="P223" s="72"/>
      <c r="Q223" s="86"/>
      <c r="R223" s="86"/>
      <c r="S223" s="86"/>
      <c r="T223" s="86"/>
      <c r="U223" s="86"/>
      <c r="V223" s="86"/>
      <c r="W223" s="86"/>
      <c r="X223" s="86"/>
      <c r="Y223" s="86"/>
      <c r="Z223" s="86"/>
      <c r="AA223" s="86"/>
      <c r="AB223" s="86"/>
      <c r="AC223" s="86"/>
      <c r="AD223" s="86"/>
      <c r="AE223" s="86"/>
      <c r="AF223" s="86"/>
    </row>
    <row r="224" spans="2:32">
      <c r="B224" s="86"/>
      <c r="C224" s="135"/>
      <c r="D224" s="86">
        <v>7</v>
      </c>
      <c r="E224" s="72">
        <v>15.92</v>
      </c>
      <c r="F224" s="86">
        <v>22</v>
      </c>
      <c r="G224" s="86">
        <v>0</v>
      </c>
      <c r="H224" s="86">
        <v>16</v>
      </c>
      <c r="I224" s="86">
        <v>0</v>
      </c>
      <c r="J224" s="86">
        <v>0</v>
      </c>
      <c r="K224" s="86">
        <v>0</v>
      </c>
      <c r="L224" s="86">
        <v>0</v>
      </c>
      <c r="M224" s="86"/>
      <c r="N224" s="86"/>
      <c r="O224" s="86"/>
      <c r="P224" s="86"/>
      <c r="Q224" s="86"/>
      <c r="R224" s="86"/>
      <c r="S224" s="86"/>
      <c r="T224" s="86"/>
      <c r="U224" s="86"/>
      <c r="V224" s="86"/>
      <c r="W224" s="86"/>
      <c r="X224" s="86"/>
      <c r="Y224" s="86"/>
      <c r="Z224" s="86"/>
      <c r="AA224" s="86"/>
      <c r="AB224" s="86"/>
      <c r="AC224" s="86"/>
      <c r="AD224" s="86"/>
      <c r="AE224" s="86"/>
      <c r="AF224" s="86"/>
    </row>
    <row r="225" spans="2:32">
      <c r="B225" s="86"/>
      <c r="C225" s="135"/>
      <c r="D225" s="86">
        <v>8</v>
      </c>
      <c r="E225" s="72">
        <v>25.88</v>
      </c>
      <c r="F225" s="86">
        <v>30</v>
      </c>
      <c r="G225" s="86">
        <v>0</v>
      </c>
      <c r="H225" s="86">
        <v>0</v>
      </c>
      <c r="I225" s="86">
        <v>12</v>
      </c>
      <c r="J225" s="86">
        <v>0</v>
      </c>
      <c r="K225" s="86">
        <v>0</v>
      </c>
      <c r="L225" s="86">
        <v>0</v>
      </c>
      <c r="M225" s="86"/>
      <c r="N225" s="86"/>
      <c r="O225" s="134"/>
      <c r="P225" s="134"/>
      <c r="Q225" s="86"/>
      <c r="R225" s="86"/>
      <c r="S225" s="86"/>
      <c r="T225" s="86"/>
      <c r="U225" s="86"/>
      <c r="V225" s="86"/>
      <c r="W225" s="86"/>
      <c r="X225" s="86"/>
      <c r="Y225" s="86"/>
      <c r="Z225" s="86"/>
      <c r="AA225" s="86"/>
      <c r="AB225" s="86"/>
      <c r="AC225" s="86"/>
      <c r="AD225" s="86"/>
      <c r="AE225" s="86"/>
      <c r="AF225" s="86"/>
    </row>
    <row r="226" spans="2:32">
      <c r="B226" s="86"/>
      <c r="C226" s="135"/>
      <c r="D226" s="86">
        <v>9</v>
      </c>
      <c r="E226" s="72">
        <v>26.85</v>
      </c>
      <c r="F226" s="86">
        <v>31</v>
      </c>
      <c r="G226" s="86">
        <v>0</v>
      </c>
      <c r="H226" s="86">
        <v>0</v>
      </c>
      <c r="I226" s="86">
        <v>10</v>
      </c>
      <c r="J226" s="86">
        <v>0</v>
      </c>
      <c r="K226" s="86">
        <v>2</v>
      </c>
      <c r="L226" s="86">
        <v>0</v>
      </c>
      <c r="M226" s="86"/>
      <c r="N226" s="86"/>
      <c r="O226" s="86"/>
      <c r="P226" s="69"/>
      <c r="Q226" s="86"/>
      <c r="R226" s="86"/>
      <c r="S226" s="86"/>
      <c r="T226" s="86"/>
      <c r="U226" s="86"/>
      <c r="V226" s="86"/>
      <c r="W226" s="86"/>
      <c r="X226" s="86"/>
      <c r="Y226" s="86"/>
      <c r="Z226" s="86"/>
      <c r="AA226" s="86"/>
      <c r="AB226" s="86"/>
      <c r="AC226" s="86"/>
      <c r="AD226" s="86"/>
      <c r="AE226" s="86"/>
      <c r="AF226" s="86"/>
    </row>
    <row r="227" spans="2:32">
      <c r="B227" s="86"/>
      <c r="C227" s="135"/>
      <c r="D227" s="70">
        <v>10</v>
      </c>
      <c r="E227" s="72">
        <v>28.92</v>
      </c>
      <c r="F227" s="86">
        <v>32</v>
      </c>
      <c r="G227" s="86">
        <v>0</v>
      </c>
      <c r="H227" s="86">
        <v>0</v>
      </c>
      <c r="I227" s="86">
        <v>10</v>
      </c>
      <c r="J227" s="86">
        <v>2</v>
      </c>
      <c r="K227" s="86">
        <v>0</v>
      </c>
      <c r="L227" s="86">
        <v>0</v>
      </c>
      <c r="M227" s="86"/>
      <c r="N227" s="86"/>
      <c r="O227" s="86"/>
      <c r="P227" s="86"/>
      <c r="Q227" s="86"/>
      <c r="R227" s="86"/>
      <c r="S227" s="86"/>
      <c r="T227" s="86"/>
      <c r="U227" s="86"/>
      <c r="V227" s="86"/>
      <c r="W227" s="86"/>
      <c r="X227" s="86"/>
      <c r="Y227" s="86"/>
      <c r="Z227" s="86"/>
      <c r="AA227" s="86"/>
      <c r="AB227" s="86"/>
      <c r="AC227" s="86"/>
      <c r="AD227" s="86"/>
      <c r="AE227" s="86"/>
      <c r="AF227" s="86"/>
    </row>
    <row r="228" spans="2:32">
      <c r="B228" s="86"/>
      <c r="C228" s="135"/>
      <c r="D228" s="86">
        <v>11</v>
      </c>
      <c r="E228" s="72">
        <v>28.85</v>
      </c>
      <c r="F228" s="86">
        <v>33</v>
      </c>
      <c r="G228" s="86">
        <v>0</v>
      </c>
      <c r="H228" s="86">
        <v>0</v>
      </c>
      <c r="I228" s="86">
        <v>8</v>
      </c>
      <c r="J228" s="86">
        <v>0</v>
      </c>
      <c r="K228" s="86">
        <v>4</v>
      </c>
      <c r="L228" s="86">
        <v>0</v>
      </c>
      <c r="M228" s="86"/>
      <c r="N228" s="86"/>
      <c r="O228" s="86"/>
      <c r="P228" s="86"/>
      <c r="Q228" s="86"/>
      <c r="R228" s="86"/>
      <c r="S228" s="70"/>
      <c r="T228" s="86"/>
      <c r="U228" s="86"/>
      <c r="V228" s="86"/>
      <c r="W228" s="86"/>
      <c r="X228" s="86"/>
      <c r="Y228" s="86"/>
      <c r="Z228" s="86"/>
      <c r="AA228" s="86"/>
      <c r="AB228" s="86"/>
      <c r="AC228" s="86"/>
      <c r="AD228" s="86"/>
      <c r="AE228" s="86"/>
      <c r="AF228" s="86"/>
    </row>
    <row r="229" spans="2:32">
      <c r="B229" s="86"/>
      <c r="C229" s="135"/>
      <c r="D229" s="86">
        <v>12</v>
      </c>
      <c r="E229" s="72">
        <v>33.17</v>
      </c>
      <c r="F229" s="86">
        <v>34</v>
      </c>
      <c r="G229" s="86">
        <v>0</v>
      </c>
      <c r="H229" s="86">
        <v>0</v>
      </c>
      <c r="I229" s="86">
        <v>8</v>
      </c>
      <c r="J229" s="86">
        <v>4</v>
      </c>
      <c r="K229" s="86">
        <v>0</v>
      </c>
      <c r="L229" s="86">
        <v>0</v>
      </c>
      <c r="M229" s="86"/>
      <c r="N229" s="86"/>
      <c r="O229" s="86"/>
      <c r="P229" s="86"/>
      <c r="Q229" s="86"/>
      <c r="R229" s="86"/>
      <c r="S229" s="86"/>
      <c r="T229" s="86"/>
      <c r="U229" s="86"/>
      <c r="V229" s="86"/>
      <c r="W229" s="86"/>
      <c r="X229" s="86"/>
      <c r="Y229" s="86"/>
      <c r="Z229" s="86"/>
      <c r="AA229" s="86"/>
      <c r="AB229" s="86"/>
      <c r="AC229" s="86"/>
      <c r="AD229" s="86"/>
      <c r="AE229" s="86"/>
      <c r="AF229" s="86"/>
    </row>
    <row r="230" spans="2:32">
      <c r="B230" s="86"/>
      <c r="C230" s="135"/>
      <c r="D230" s="86">
        <v>13</v>
      </c>
      <c r="E230" s="72">
        <v>35.46</v>
      </c>
      <c r="F230" s="86">
        <v>35</v>
      </c>
      <c r="G230" s="86">
        <v>0</v>
      </c>
      <c r="H230" s="86">
        <v>0</v>
      </c>
      <c r="I230" s="86">
        <v>4</v>
      </c>
      <c r="J230" s="86">
        <v>4</v>
      </c>
      <c r="K230" s="86">
        <v>4</v>
      </c>
      <c r="L230" s="86">
        <v>0</v>
      </c>
      <c r="M230" s="86"/>
      <c r="N230" s="86"/>
      <c r="O230" s="86"/>
      <c r="P230" s="86"/>
      <c r="Q230" s="86"/>
      <c r="R230" s="86"/>
      <c r="S230" s="86"/>
      <c r="T230" s="86"/>
      <c r="U230" s="86"/>
      <c r="V230" s="86"/>
      <c r="W230" s="86"/>
      <c r="X230" s="86"/>
      <c r="Y230" s="86"/>
      <c r="Z230" s="86"/>
      <c r="AA230" s="86"/>
      <c r="AB230" s="86"/>
      <c r="AC230" s="86"/>
      <c r="AD230" s="86"/>
      <c r="AE230" s="86"/>
      <c r="AF230" s="86"/>
    </row>
    <row r="231" spans="2:32">
      <c r="B231" s="86"/>
      <c r="C231" s="135"/>
      <c r="D231" s="86">
        <v>14</v>
      </c>
      <c r="E231" s="72">
        <v>34.58</v>
      </c>
      <c r="F231" s="86">
        <v>36</v>
      </c>
      <c r="G231" s="86">
        <v>0</v>
      </c>
      <c r="H231" s="86">
        <v>0</v>
      </c>
      <c r="I231" s="86">
        <v>6</v>
      </c>
      <c r="J231" s="86">
        <v>6</v>
      </c>
      <c r="K231" s="86">
        <v>0</v>
      </c>
      <c r="L231" s="86">
        <v>0</v>
      </c>
      <c r="M231" s="86"/>
      <c r="N231" s="86"/>
      <c r="O231" s="86"/>
      <c r="P231" s="86"/>
      <c r="Q231" s="86"/>
      <c r="R231" s="86"/>
      <c r="S231" s="86"/>
      <c r="T231" s="86"/>
      <c r="U231" s="86"/>
      <c r="V231" s="86"/>
      <c r="W231" s="86"/>
      <c r="X231" s="86"/>
      <c r="Y231" s="86"/>
      <c r="Z231" s="86"/>
      <c r="AA231" s="86"/>
      <c r="AB231" s="86"/>
      <c r="AC231" s="86"/>
      <c r="AD231" s="86"/>
      <c r="AE231" s="86"/>
      <c r="AF231" s="86"/>
    </row>
    <row r="232" spans="2:32">
      <c r="B232" s="86"/>
      <c r="C232" s="135"/>
      <c r="D232" s="70">
        <v>15</v>
      </c>
      <c r="E232" s="72">
        <v>37.770000000000003</v>
      </c>
      <c r="F232" s="86">
        <v>37</v>
      </c>
      <c r="G232" s="86">
        <v>0</v>
      </c>
      <c r="H232" s="86">
        <v>0</v>
      </c>
      <c r="I232" s="86">
        <v>2</v>
      </c>
      <c r="J232" s="86">
        <v>6</v>
      </c>
      <c r="K232" s="86">
        <v>4</v>
      </c>
      <c r="L232" s="86">
        <v>0</v>
      </c>
      <c r="M232" s="86"/>
      <c r="N232" s="86"/>
      <c r="O232" s="86"/>
      <c r="P232" s="86"/>
      <c r="Q232" s="86"/>
      <c r="R232" s="86"/>
      <c r="S232" s="86"/>
      <c r="T232" s="86"/>
      <c r="U232" s="86"/>
      <c r="V232" s="86"/>
      <c r="W232" s="86"/>
      <c r="X232" s="86"/>
      <c r="Y232" s="86"/>
      <c r="Z232" s="86"/>
      <c r="AA232" s="86"/>
      <c r="AB232" s="86"/>
      <c r="AC232" s="86"/>
      <c r="AD232" s="86"/>
      <c r="AE232" s="86"/>
      <c r="AF232" s="86"/>
    </row>
    <row r="233" spans="2:32">
      <c r="B233" s="86"/>
      <c r="C233" s="135"/>
      <c r="D233" s="86">
        <v>16</v>
      </c>
      <c r="E233" s="86">
        <v>0</v>
      </c>
      <c r="F233" s="86">
        <v>14</v>
      </c>
      <c r="G233" s="86">
        <v>6</v>
      </c>
      <c r="H233" s="86">
        <v>0</v>
      </c>
      <c r="I233" s="86">
        <v>4</v>
      </c>
      <c r="J233" s="86">
        <v>2</v>
      </c>
      <c r="K233" s="86">
        <v>0</v>
      </c>
      <c r="L233" s="86">
        <v>0</v>
      </c>
      <c r="M233" s="86"/>
      <c r="N233" s="86"/>
      <c r="O233" s="86"/>
      <c r="P233" s="86"/>
      <c r="Q233" s="86"/>
      <c r="R233" s="86"/>
      <c r="S233" s="86"/>
      <c r="T233" s="86"/>
      <c r="U233" s="86"/>
      <c r="V233" s="86"/>
      <c r="W233" s="86"/>
      <c r="X233" s="86"/>
      <c r="Y233" s="86"/>
      <c r="Z233" s="86"/>
      <c r="AA233" s="86"/>
      <c r="AB233" s="86"/>
      <c r="AC233" s="86"/>
      <c r="AD233" s="86"/>
      <c r="AE233" s="86"/>
      <c r="AF233" s="86"/>
    </row>
    <row r="234" spans="2:32">
      <c r="B234" s="86"/>
      <c r="C234" s="135"/>
      <c r="D234" s="86">
        <v>17</v>
      </c>
      <c r="E234" s="86">
        <v>0</v>
      </c>
      <c r="F234" s="86">
        <v>15</v>
      </c>
      <c r="G234" s="86">
        <v>6</v>
      </c>
      <c r="H234" s="86">
        <v>0</v>
      </c>
      <c r="I234" s="86">
        <v>2</v>
      </c>
      <c r="J234" s="86">
        <v>2</v>
      </c>
      <c r="K234" s="86">
        <v>2</v>
      </c>
      <c r="L234" s="86">
        <v>0</v>
      </c>
      <c r="M234" s="86"/>
      <c r="N234" s="86"/>
      <c r="O234" s="86"/>
      <c r="P234" s="86"/>
      <c r="Q234" s="86"/>
      <c r="R234" s="86"/>
      <c r="S234" s="86"/>
      <c r="T234" s="86"/>
      <c r="U234" s="86"/>
      <c r="V234" s="86"/>
      <c r="W234" s="86"/>
      <c r="X234" s="86"/>
      <c r="Y234" s="86"/>
      <c r="Z234" s="86"/>
      <c r="AA234" s="86"/>
      <c r="AB234" s="86"/>
      <c r="AC234" s="86"/>
      <c r="AD234" s="86"/>
      <c r="AE234" s="86"/>
      <c r="AF234" s="86"/>
    </row>
    <row r="235" spans="2:32">
      <c r="B235" s="86"/>
      <c r="C235" s="86"/>
      <c r="D235" s="86"/>
      <c r="M235" s="86"/>
      <c r="N235" s="86"/>
      <c r="O235" s="86"/>
      <c r="P235" s="86"/>
      <c r="Q235" s="86"/>
      <c r="R235" s="86"/>
      <c r="S235" s="86"/>
      <c r="T235" s="86"/>
      <c r="U235" s="86"/>
      <c r="V235" s="86"/>
      <c r="W235" s="86"/>
      <c r="X235" s="86"/>
      <c r="Y235" s="86"/>
      <c r="Z235" s="86"/>
      <c r="AA235" s="86"/>
      <c r="AB235" s="86"/>
      <c r="AC235" s="86"/>
      <c r="AD235" s="86"/>
      <c r="AE235" s="86"/>
      <c r="AF235" s="86"/>
    </row>
    <row r="236" spans="2:32">
      <c r="B236" s="86"/>
      <c r="C236" s="86"/>
      <c r="D236" s="86"/>
      <c r="E236" s="69" t="s">
        <v>176</v>
      </c>
      <c r="F236" s="69" t="s">
        <v>177</v>
      </c>
      <c r="G236" s="69" t="s">
        <v>178</v>
      </c>
      <c r="H236" s="69" t="s">
        <v>179</v>
      </c>
      <c r="I236" s="69" t="s">
        <v>180</v>
      </c>
      <c r="J236" s="69" t="s">
        <v>181</v>
      </c>
      <c r="K236" s="69" t="s">
        <v>182</v>
      </c>
      <c r="L236" s="69" t="s">
        <v>183</v>
      </c>
      <c r="M236" s="86"/>
      <c r="N236" s="86"/>
      <c r="O236" s="86"/>
      <c r="P236" s="86"/>
      <c r="Q236" s="86"/>
      <c r="R236" s="86"/>
      <c r="S236" s="86"/>
      <c r="T236" s="86"/>
      <c r="U236" s="86"/>
      <c r="V236" s="86"/>
      <c r="W236" s="86"/>
      <c r="X236" s="86"/>
      <c r="Y236" s="86"/>
      <c r="Z236" s="86"/>
      <c r="AA236" s="86"/>
      <c r="AB236" s="86"/>
      <c r="AC236" s="86"/>
      <c r="AD236" s="86"/>
      <c r="AE236" s="86"/>
      <c r="AF236" s="86"/>
    </row>
    <row r="237" spans="2:32">
      <c r="B237" s="86"/>
      <c r="C237" s="86"/>
      <c r="D237" s="86">
        <f>AD216</f>
        <v>1</v>
      </c>
      <c r="E237" s="86">
        <f>VLOOKUP(D237,D217:L234,2,FALSE)</f>
        <v>24.11</v>
      </c>
      <c r="F237" s="86">
        <f>VLOOKUP(D237,D217:L234,3,FALSE)</f>
        <v>10</v>
      </c>
      <c r="G237" s="86">
        <f>VLOOKUP(D237,D217:L234,4,FALSE)</f>
        <v>8</v>
      </c>
      <c r="H237" s="86">
        <f>VLOOKUP(D237,D217:L234,5,FALSE)</f>
        <v>0</v>
      </c>
      <c r="I237" s="86">
        <f>VLOOKUP(D237,D217:L234,6,FALSE)</f>
        <v>4</v>
      </c>
      <c r="J237" s="86">
        <f>VLOOKUP(D237,D217:L234,7,FALSE)</f>
        <v>0</v>
      </c>
      <c r="K237" s="86">
        <f>VLOOKUP(D237,D217:L234,8,FALSE)</f>
        <v>0</v>
      </c>
      <c r="L237" s="86">
        <f>VLOOKUP(D237,D217:L234,9,FALSE)</f>
        <v>0</v>
      </c>
      <c r="M237" s="86"/>
      <c r="N237" s="86"/>
      <c r="O237" s="86"/>
      <c r="P237" s="86"/>
      <c r="Q237" s="86"/>
      <c r="R237" s="86"/>
      <c r="S237" s="86"/>
      <c r="T237" s="86"/>
      <c r="U237" s="86"/>
      <c r="V237" s="86"/>
      <c r="W237" s="86"/>
      <c r="X237" s="86"/>
      <c r="Y237" s="86"/>
      <c r="Z237" s="86"/>
      <c r="AA237" s="86"/>
      <c r="AB237" s="86"/>
      <c r="AC237" s="86"/>
      <c r="AD237" s="86"/>
      <c r="AE237" s="86"/>
      <c r="AF237" s="86"/>
    </row>
    <row r="238" spans="2:32">
      <c r="B238" s="86"/>
      <c r="C238" s="86"/>
      <c r="D238" s="86">
        <f>AE216</f>
        <v>1</v>
      </c>
      <c r="E238" s="86">
        <f>VLOOKUP(D238,D217:L234,2,FALSE)</f>
        <v>24.11</v>
      </c>
      <c r="F238" s="86">
        <f>VLOOKUP(D238,D217:L234,3,FALSE)</f>
        <v>10</v>
      </c>
      <c r="G238" s="86">
        <f>VLOOKUP(D238,D217:L234,4,FALSE)</f>
        <v>8</v>
      </c>
      <c r="H238" s="86">
        <f>VLOOKUP(D238,D217:L234,5,FALSE)</f>
        <v>0</v>
      </c>
      <c r="I238" s="86">
        <f>VLOOKUP(D238,D217:L234,6,FALSE)</f>
        <v>4</v>
      </c>
      <c r="J238" s="86">
        <f>VLOOKUP(D238,D217:L234,7,FALSE)</f>
        <v>0</v>
      </c>
      <c r="K238" s="86">
        <f>VLOOKUP(D238,D217:L234,8,FALSE)</f>
        <v>0</v>
      </c>
      <c r="L238" s="86">
        <f>VLOOKUP(D238,D217:L234,9,FALSE)</f>
        <v>0</v>
      </c>
      <c r="M238" s="86"/>
      <c r="N238" s="86"/>
      <c r="O238" s="86"/>
      <c r="P238" s="86"/>
      <c r="Q238" s="86"/>
      <c r="R238" s="86"/>
      <c r="S238" s="86"/>
      <c r="T238" s="86"/>
      <c r="U238" s="86"/>
      <c r="V238" s="86"/>
      <c r="W238" s="86"/>
      <c r="X238" s="86"/>
      <c r="Y238" s="86"/>
      <c r="Z238" s="86"/>
      <c r="AA238" s="86"/>
      <c r="AB238" s="86"/>
      <c r="AC238" s="86"/>
      <c r="AD238" s="86"/>
      <c r="AE238" s="86"/>
      <c r="AF238" s="86"/>
    </row>
    <row r="239" spans="2:32">
      <c r="B239" s="86"/>
      <c r="C239" s="86"/>
      <c r="D239" s="86"/>
      <c r="E239" s="86"/>
      <c r="F239" s="86"/>
      <c r="G239" s="86">
        <f>G237+G238</f>
        <v>16</v>
      </c>
      <c r="H239" s="86">
        <f>H237+H238</f>
        <v>0</v>
      </c>
      <c r="I239" s="86">
        <f>I237+I238</f>
        <v>8</v>
      </c>
      <c r="J239" s="86">
        <f>J237+J238</f>
        <v>0</v>
      </c>
      <c r="K239" s="86">
        <f>K238+K237</f>
        <v>0</v>
      </c>
      <c r="L239" s="86">
        <f>L237+L238</f>
        <v>0</v>
      </c>
      <c r="M239" s="86"/>
      <c r="N239" s="86"/>
      <c r="O239" s="86"/>
      <c r="P239" s="86"/>
      <c r="Q239" s="86"/>
      <c r="R239" s="86"/>
      <c r="S239" s="86"/>
      <c r="T239" s="86"/>
      <c r="U239" s="86"/>
      <c r="V239" s="86"/>
      <c r="W239" s="86"/>
      <c r="X239" s="86"/>
      <c r="Y239" s="86"/>
      <c r="Z239" s="86"/>
      <c r="AA239" s="86"/>
      <c r="AB239" s="86"/>
      <c r="AC239" s="86"/>
      <c r="AD239" s="86"/>
      <c r="AE239" s="86"/>
      <c r="AF239" s="86"/>
    </row>
    <row r="240" spans="2:32">
      <c r="B240" s="86"/>
      <c r="C240" s="86"/>
      <c r="D240" s="86"/>
      <c r="E240" s="86"/>
      <c r="F240" s="86"/>
      <c r="G240" s="86"/>
      <c r="H240" s="86"/>
      <c r="I240" s="86"/>
      <c r="J240" s="86"/>
      <c r="K240" s="86"/>
      <c r="L240" s="86"/>
      <c r="M240" s="86"/>
      <c r="N240" s="86"/>
      <c r="O240" s="86"/>
      <c r="P240" s="86"/>
      <c r="Q240" s="86"/>
      <c r="R240" s="86"/>
      <c r="S240" s="86"/>
      <c r="T240" s="86"/>
      <c r="U240" s="86"/>
      <c r="V240" s="86"/>
      <c r="W240" s="86"/>
      <c r="X240" s="86"/>
      <c r="Y240" s="86"/>
      <c r="Z240" s="86"/>
      <c r="AA240" s="86"/>
      <c r="AB240" s="86"/>
      <c r="AC240" s="86"/>
      <c r="AD240" s="86"/>
      <c r="AE240" s="86"/>
      <c r="AF240" s="86"/>
    </row>
    <row r="241" spans="2:32">
      <c r="B241" s="86"/>
      <c r="C241" s="86"/>
      <c r="D241" s="86"/>
      <c r="E241" s="86"/>
      <c r="F241" s="86"/>
      <c r="G241" s="86"/>
      <c r="H241" s="86"/>
      <c r="I241" s="86"/>
      <c r="J241" s="86"/>
      <c r="K241" s="86"/>
      <c r="L241" s="86"/>
      <c r="M241" s="86"/>
      <c r="N241" s="86"/>
      <c r="O241" s="86"/>
      <c r="P241" s="86"/>
      <c r="Q241" s="86"/>
      <c r="R241" s="86"/>
      <c r="S241" s="86"/>
      <c r="T241" s="86"/>
      <c r="U241" s="86"/>
      <c r="V241" s="86"/>
      <c r="W241" s="86"/>
      <c r="X241" s="86"/>
      <c r="Y241" s="86"/>
      <c r="Z241" s="86"/>
      <c r="AA241" s="86"/>
      <c r="AB241" s="86"/>
      <c r="AC241" s="86"/>
      <c r="AD241" s="86"/>
      <c r="AE241" s="86"/>
      <c r="AF241" s="86"/>
    </row>
    <row r="242" spans="2:32">
      <c r="B242" s="86"/>
      <c r="C242" s="86"/>
      <c r="D242" s="86"/>
      <c r="E242" s="86"/>
      <c r="F242" s="86"/>
      <c r="G242" s="86"/>
      <c r="H242" s="86"/>
      <c r="I242" s="86"/>
      <c r="J242" s="86"/>
      <c r="K242" s="86"/>
      <c r="L242" s="86"/>
      <c r="M242" s="86"/>
      <c r="N242" s="86"/>
      <c r="O242" s="86"/>
      <c r="P242" s="86"/>
      <c r="Q242" s="86"/>
      <c r="R242" s="86"/>
      <c r="S242" s="86"/>
      <c r="T242" s="86"/>
      <c r="U242" s="86"/>
      <c r="V242" s="86"/>
      <c r="W242" s="86"/>
      <c r="X242" s="86"/>
      <c r="Y242" s="86"/>
      <c r="Z242" s="86"/>
      <c r="AA242" s="86"/>
      <c r="AB242" s="86"/>
      <c r="AC242" s="86"/>
      <c r="AD242" s="86"/>
      <c r="AE242" s="86"/>
      <c r="AF242" s="86"/>
    </row>
    <row r="243" spans="2:32">
      <c r="B243" s="86"/>
      <c r="C243" s="86"/>
      <c r="D243" s="86"/>
      <c r="E243" s="72"/>
      <c r="F243" s="86"/>
      <c r="G243" s="86"/>
      <c r="H243" s="86"/>
      <c r="I243" s="86"/>
      <c r="J243" s="86"/>
      <c r="K243" s="86"/>
      <c r="L243" s="86"/>
      <c r="M243" s="86"/>
      <c r="N243" s="86"/>
      <c r="O243" s="86"/>
      <c r="P243" s="86"/>
      <c r="Q243" s="86"/>
      <c r="R243" s="86"/>
      <c r="S243" s="86"/>
      <c r="T243" s="86"/>
      <c r="U243" s="86"/>
      <c r="V243" s="86"/>
      <c r="W243" s="86"/>
      <c r="X243" s="86"/>
      <c r="Y243" s="86"/>
      <c r="Z243" s="86"/>
      <c r="AA243" s="86"/>
      <c r="AB243" s="86"/>
      <c r="AC243" s="86"/>
      <c r="AD243" s="86"/>
      <c r="AE243" s="86"/>
      <c r="AF243" s="86"/>
    </row>
    <row r="246" spans="2:32">
      <c r="B246" s="86"/>
      <c r="C246" s="86"/>
      <c r="D246" s="86"/>
      <c r="E246" s="86"/>
      <c r="F246" s="86"/>
      <c r="G246" s="86"/>
      <c r="H246" s="86"/>
      <c r="I246" s="86"/>
      <c r="J246" s="86"/>
      <c r="K246" s="86"/>
      <c r="L246" s="86"/>
      <c r="M246" s="86"/>
      <c r="N246" s="86"/>
      <c r="O246" s="86"/>
      <c r="P246" s="86"/>
      <c r="Q246" s="86"/>
      <c r="R246" s="86"/>
      <c r="S246" s="86"/>
      <c r="T246" s="86"/>
      <c r="U246" s="86"/>
      <c r="V246" s="86"/>
      <c r="W246" s="86"/>
      <c r="X246" s="86"/>
      <c r="Y246" s="86"/>
      <c r="Z246" s="86"/>
      <c r="AA246" s="86"/>
      <c r="AB246" s="86"/>
      <c r="AC246" s="86"/>
      <c r="AD246" s="86"/>
      <c r="AE246" s="86"/>
      <c r="AF246" s="86"/>
    </row>
    <row r="247" spans="2:32">
      <c r="B247" s="86"/>
      <c r="C247" s="86"/>
      <c r="D247" s="86"/>
      <c r="E247" s="86"/>
      <c r="F247" s="86"/>
      <c r="G247" s="86"/>
      <c r="H247" s="86"/>
      <c r="I247" s="86"/>
      <c r="J247" s="86"/>
      <c r="K247" s="86"/>
      <c r="L247" s="86"/>
      <c r="M247" s="86"/>
      <c r="N247" s="86"/>
      <c r="O247" s="86"/>
      <c r="P247" s="86"/>
      <c r="Q247" s="86"/>
      <c r="R247" s="86"/>
      <c r="S247" s="86"/>
      <c r="T247" s="86"/>
      <c r="U247" s="86"/>
      <c r="V247" s="86"/>
      <c r="W247" s="86"/>
      <c r="X247" s="86"/>
      <c r="Y247" s="86"/>
      <c r="Z247" s="86"/>
      <c r="AA247" s="86"/>
      <c r="AB247" s="86"/>
      <c r="AC247" s="86"/>
      <c r="AD247" s="86"/>
      <c r="AE247" s="86"/>
      <c r="AF247" s="86"/>
    </row>
    <row r="248" spans="2:32">
      <c r="B248" s="86"/>
      <c r="C248" s="86"/>
      <c r="D248" s="86"/>
      <c r="E248" s="86"/>
      <c r="F248" s="86"/>
      <c r="G248" s="86"/>
      <c r="H248" s="86"/>
      <c r="I248" s="86"/>
      <c r="J248" s="86"/>
      <c r="K248" s="86"/>
      <c r="L248" s="86"/>
      <c r="M248" s="86"/>
      <c r="N248" s="86"/>
      <c r="O248" s="86"/>
      <c r="P248" s="86"/>
      <c r="Q248" s="86"/>
      <c r="R248" s="86"/>
      <c r="S248" s="86"/>
      <c r="T248" s="86"/>
      <c r="U248" s="86"/>
      <c r="V248" s="86"/>
      <c r="W248" s="86"/>
      <c r="X248" s="86"/>
      <c r="Y248" s="86"/>
      <c r="Z248" s="86"/>
      <c r="AA248" s="86"/>
      <c r="AB248" s="86"/>
      <c r="AC248" s="134"/>
      <c r="AD248" s="134"/>
      <c r="AE248" s="134"/>
      <c r="AF248" s="134"/>
    </row>
    <row r="249" spans="2:32">
      <c r="B249" s="86"/>
      <c r="C249" s="135"/>
      <c r="D249" s="86"/>
      <c r="E249" s="69"/>
      <c r="F249" s="69"/>
      <c r="G249" s="69"/>
      <c r="H249" s="69"/>
      <c r="I249" s="69"/>
      <c r="J249" s="69"/>
      <c r="K249" s="69"/>
      <c r="L249" s="69"/>
      <c r="M249" s="86"/>
      <c r="N249" s="86"/>
      <c r="O249" s="86"/>
      <c r="P249" s="69"/>
      <c r="Q249" s="69"/>
      <c r="R249" s="69"/>
      <c r="S249" s="69"/>
      <c r="T249" s="69"/>
      <c r="U249" s="69"/>
      <c r="V249" s="69"/>
      <c r="W249" s="86"/>
      <c r="X249" s="86"/>
      <c r="Y249" s="86"/>
      <c r="Z249" s="86"/>
      <c r="AA249" s="86"/>
      <c r="AB249" s="86"/>
      <c r="AC249" s="86"/>
      <c r="AD249" s="68">
        <v>6</v>
      </c>
      <c r="AE249" s="68">
        <v>0</v>
      </c>
      <c r="AF249" s="86"/>
    </row>
    <row r="250" spans="2:32">
      <c r="B250" s="86"/>
      <c r="C250" s="135"/>
      <c r="D250" s="70">
        <v>0</v>
      </c>
      <c r="E250" s="72">
        <v>0</v>
      </c>
      <c r="F250" s="37" t="s">
        <v>160</v>
      </c>
      <c r="G250" s="86">
        <v>0</v>
      </c>
      <c r="H250" s="86">
        <v>0</v>
      </c>
      <c r="I250" s="86">
        <v>0</v>
      </c>
      <c r="J250" s="86">
        <v>0</v>
      </c>
      <c r="K250" s="86">
        <v>0</v>
      </c>
      <c r="L250" s="86">
        <v>0</v>
      </c>
      <c r="M250" s="86"/>
      <c r="N250" s="70">
        <v>0</v>
      </c>
      <c r="O250" s="72">
        <v>0</v>
      </c>
      <c r="P250" s="37" t="s">
        <v>160</v>
      </c>
      <c r="Q250" s="86">
        <v>0</v>
      </c>
      <c r="R250" s="86">
        <v>0</v>
      </c>
      <c r="S250" s="86">
        <v>0</v>
      </c>
      <c r="T250" s="86">
        <v>0</v>
      </c>
      <c r="U250" s="86">
        <v>0</v>
      </c>
      <c r="V250" s="86">
        <v>0</v>
      </c>
      <c r="W250" s="86"/>
      <c r="X250" s="86"/>
      <c r="Y250" s="86"/>
      <c r="Z250" s="86"/>
      <c r="AA250" s="86"/>
      <c r="AB250" s="86"/>
      <c r="AC250" s="86"/>
      <c r="AD250" s="86"/>
      <c r="AE250" s="86"/>
      <c r="AF250" s="86"/>
    </row>
    <row r="251" spans="2:32">
      <c r="B251" s="86"/>
      <c r="C251" s="135"/>
      <c r="D251" s="86">
        <v>1</v>
      </c>
      <c r="E251" s="72">
        <v>24.11</v>
      </c>
      <c r="F251" s="86">
        <v>10</v>
      </c>
      <c r="G251" s="86">
        <v>8</v>
      </c>
      <c r="H251" s="86">
        <v>0</v>
      </c>
      <c r="I251" s="86">
        <v>4</v>
      </c>
      <c r="J251" s="86">
        <v>0</v>
      </c>
      <c r="K251" s="86">
        <v>0</v>
      </c>
      <c r="L251" s="86">
        <v>0</v>
      </c>
      <c r="M251" s="86"/>
      <c r="N251" s="86">
        <v>1</v>
      </c>
      <c r="O251" s="72">
        <v>24.11</v>
      </c>
      <c r="P251" s="86">
        <v>10</v>
      </c>
      <c r="Q251" s="86">
        <v>8</v>
      </c>
      <c r="R251" s="86">
        <v>0</v>
      </c>
      <c r="S251" s="86">
        <v>4</v>
      </c>
      <c r="T251" s="86">
        <v>0</v>
      </c>
      <c r="U251" s="86">
        <v>0</v>
      </c>
      <c r="V251" s="86">
        <v>0</v>
      </c>
      <c r="W251" s="86"/>
      <c r="X251" s="86"/>
      <c r="Y251" s="86"/>
      <c r="Z251" s="86"/>
      <c r="AA251" s="86"/>
      <c r="AB251" s="86"/>
      <c r="AC251" s="86">
        <v>34.885204000000002</v>
      </c>
      <c r="AD251" s="86">
        <f>VLOOKUP(AD249,D250:E267,2,)</f>
        <v>15.92</v>
      </c>
      <c r="AE251" s="86">
        <v>0</v>
      </c>
      <c r="AF251" s="73">
        <f>(AC251+AD251)*1.05*1.25*1.3</f>
        <v>86.686379325000033</v>
      </c>
    </row>
    <row r="252" spans="2:32">
      <c r="B252" s="86"/>
      <c r="C252" s="135"/>
      <c r="D252" s="86">
        <v>2</v>
      </c>
      <c r="E252" s="72">
        <v>24.11</v>
      </c>
      <c r="F252" s="86">
        <v>11</v>
      </c>
      <c r="G252" s="86">
        <v>8</v>
      </c>
      <c r="H252" s="86">
        <v>0</v>
      </c>
      <c r="I252" s="86">
        <v>2</v>
      </c>
      <c r="J252" s="86">
        <v>0</v>
      </c>
      <c r="K252" s="86">
        <v>2</v>
      </c>
      <c r="L252" s="86">
        <v>0</v>
      </c>
      <c r="M252" s="86"/>
      <c r="N252" s="86">
        <v>2</v>
      </c>
      <c r="O252" s="72">
        <v>24.11</v>
      </c>
      <c r="P252" s="86">
        <v>11</v>
      </c>
      <c r="Q252" s="86">
        <v>8</v>
      </c>
      <c r="R252" s="86">
        <v>0</v>
      </c>
      <c r="S252" s="86">
        <v>2</v>
      </c>
      <c r="T252" s="86">
        <v>0</v>
      </c>
      <c r="U252" s="86">
        <v>2</v>
      </c>
      <c r="V252" s="86">
        <v>0</v>
      </c>
      <c r="W252" s="86"/>
      <c r="X252" s="86"/>
      <c r="Y252" s="86"/>
      <c r="Z252" s="72"/>
      <c r="AA252" s="86"/>
      <c r="AB252" s="86"/>
      <c r="AC252" s="86"/>
      <c r="AD252" s="86"/>
      <c r="AE252" s="86"/>
      <c r="AF252" s="86"/>
    </row>
    <row r="253" spans="2:32">
      <c r="B253" s="86"/>
      <c r="C253" s="135"/>
      <c r="D253" s="86">
        <v>3</v>
      </c>
      <c r="E253" s="72">
        <v>27.07</v>
      </c>
      <c r="F253" s="86">
        <v>13</v>
      </c>
      <c r="G253" s="86">
        <v>6</v>
      </c>
      <c r="H253" s="86">
        <v>0</v>
      </c>
      <c r="I253" s="86">
        <v>4</v>
      </c>
      <c r="J253" s="86">
        <v>0</v>
      </c>
      <c r="K253" s="86">
        <v>2</v>
      </c>
      <c r="L253" s="86">
        <v>0</v>
      </c>
      <c r="M253" s="86"/>
      <c r="N253" s="86">
        <v>3</v>
      </c>
      <c r="O253" s="72">
        <v>27.07</v>
      </c>
      <c r="P253" s="86">
        <v>12</v>
      </c>
      <c r="Q253" s="86">
        <v>6</v>
      </c>
      <c r="R253" s="86">
        <v>0</v>
      </c>
      <c r="S253" s="86">
        <v>6</v>
      </c>
      <c r="T253" s="86">
        <v>0</v>
      </c>
      <c r="U253" s="86">
        <v>0</v>
      </c>
      <c r="V253" s="86">
        <v>0</v>
      </c>
      <c r="W253" s="86"/>
      <c r="X253" s="86"/>
      <c r="Y253" s="86"/>
      <c r="Z253" s="86"/>
      <c r="AA253" s="86"/>
      <c r="AB253" s="86"/>
      <c r="AC253" s="86"/>
      <c r="AD253" s="86"/>
      <c r="AE253" s="86"/>
      <c r="AF253" s="86"/>
    </row>
    <row r="254" spans="2:32">
      <c r="B254" s="86"/>
      <c r="C254" s="135"/>
      <c r="D254" s="86">
        <v>4</v>
      </c>
      <c r="E254" s="72">
        <v>24.35</v>
      </c>
      <c r="F254" s="86">
        <v>20</v>
      </c>
      <c r="G254" s="86">
        <v>0</v>
      </c>
      <c r="H254" s="86">
        <v>8</v>
      </c>
      <c r="I254" s="86">
        <v>2</v>
      </c>
      <c r="J254" s="86">
        <v>2</v>
      </c>
      <c r="K254" s="86">
        <v>0</v>
      </c>
      <c r="L254" s="86">
        <v>2</v>
      </c>
      <c r="M254" s="86"/>
      <c r="N254" s="86">
        <v>4</v>
      </c>
      <c r="O254" s="72">
        <v>27.07</v>
      </c>
      <c r="P254" s="86">
        <v>13</v>
      </c>
      <c r="Q254" s="86">
        <v>6</v>
      </c>
      <c r="R254" s="86">
        <v>0</v>
      </c>
      <c r="S254" s="86">
        <v>4</v>
      </c>
      <c r="T254" s="86">
        <v>0</v>
      </c>
      <c r="U254" s="86">
        <v>2</v>
      </c>
      <c r="V254" s="86">
        <v>0</v>
      </c>
      <c r="W254" s="86"/>
      <c r="X254" s="86"/>
      <c r="Y254" s="86"/>
      <c r="Z254" s="86"/>
      <c r="AA254" s="86"/>
      <c r="AB254" s="86"/>
      <c r="AC254" s="86"/>
      <c r="AD254" s="86"/>
      <c r="AE254" s="86"/>
      <c r="AF254" s="86"/>
    </row>
    <row r="255" spans="2:32">
      <c r="B255" s="86"/>
      <c r="C255" s="135"/>
      <c r="D255" s="70">
        <v>5</v>
      </c>
      <c r="E255" s="72">
        <v>22.21</v>
      </c>
      <c r="F255" s="86">
        <v>21</v>
      </c>
      <c r="G255" s="86">
        <v>0</v>
      </c>
      <c r="H255" s="86">
        <v>8</v>
      </c>
      <c r="I255" s="86">
        <v>1</v>
      </c>
      <c r="J255" s="86">
        <v>1</v>
      </c>
      <c r="K255" s="86">
        <v>0</v>
      </c>
      <c r="L255" s="86">
        <v>4</v>
      </c>
      <c r="M255" s="86"/>
      <c r="N255" s="70">
        <v>5</v>
      </c>
      <c r="O255" s="72">
        <v>24.35</v>
      </c>
      <c r="P255" s="86">
        <v>20</v>
      </c>
      <c r="Q255" s="86">
        <v>0</v>
      </c>
      <c r="R255" s="86">
        <v>8</v>
      </c>
      <c r="S255" s="86">
        <v>2</v>
      </c>
      <c r="T255" s="86">
        <v>2</v>
      </c>
      <c r="U255" s="86">
        <v>0</v>
      </c>
      <c r="V255" s="86">
        <v>2</v>
      </c>
      <c r="W255" s="86"/>
      <c r="X255" s="86"/>
      <c r="Y255" s="86"/>
      <c r="Z255" s="86"/>
      <c r="AA255" s="86"/>
      <c r="AB255" s="86"/>
      <c r="AC255" s="86"/>
      <c r="AD255" s="86"/>
      <c r="AE255" s="86"/>
      <c r="AF255" s="86"/>
    </row>
    <row r="256" spans="2:32">
      <c r="B256" s="86"/>
      <c r="C256" s="135"/>
      <c r="D256" s="86">
        <v>6</v>
      </c>
      <c r="E256" s="72">
        <v>15.92</v>
      </c>
      <c r="F256" s="86">
        <v>22</v>
      </c>
      <c r="G256" s="86">
        <v>0</v>
      </c>
      <c r="H256" s="86">
        <v>16</v>
      </c>
      <c r="I256" s="86">
        <v>0</v>
      </c>
      <c r="J256" s="86">
        <v>0</v>
      </c>
      <c r="K256" s="86">
        <v>0</v>
      </c>
      <c r="L256" s="86">
        <v>0</v>
      </c>
      <c r="M256" s="86"/>
      <c r="N256" s="86">
        <v>6</v>
      </c>
      <c r="O256" s="72">
        <v>22.21</v>
      </c>
      <c r="P256" s="86">
        <v>21</v>
      </c>
      <c r="Q256" s="86">
        <v>0</v>
      </c>
      <c r="R256" s="86">
        <v>8</v>
      </c>
      <c r="S256" s="86">
        <v>1</v>
      </c>
      <c r="T256" s="86">
        <v>1</v>
      </c>
      <c r="U256" s="86">
        <v>0</v>
      </c>
      <c r="V256" s="86">
        <v>4</v>
      </c>
      <c r="W256" s="86"/>
      <c r="X256" s="86"/>
      <c r="Y256" s="86"/>
      <c r="Z256" s="86"/>
      <c r="AA256" s="86"/>
      <c r="AB256" s="86"/>
      <c r="AC256" s="86"/>
      <c r="AD256" s="86"/>
      <c r="AE256" s="86"/>
      <c r="AF256" s="86"/>
    </row>
    <row r="257" spans="2:32">
      <c r="B257" s="86"/>
      <c r="C257" s="135"/>
      <c r="D257" s="86">
        <v>7</v>
      </c>
      <c r="E257" s="72">
        <v>25.88</v>
      </c>
      <c r="F257" s="86">
        <v>30</v>
      </c>
      <c r="G257" s="86">
        <v>0</v>
      </c>
      <c r="H257" s="86">
        <v>0</v>
      </c>
      <c r="I257" s="86">
        <v>12</v>
      </c>
      <c r="J257" s="86">
        <v>0</v>
      </c>
      <c r="K257" s="86">
        <v>0</v>
      </c>
      <c r="L257" s="86">
        <v>0</v>
      </c>
      <c r="M257" s="86"/>
      <c r="N257" s="86">
        <v>7</v>
      </c>
      <c r="O257" s="72">
        <v>15.92</v>
      </c>
      <c r="P257" s="86">
        <v>22</v>
      </c>
      <c r="Q257" s="86">
        <v>0</v>
      </c>
      <c r="R257" s="86">
        <v>16</v>
      </c>
      <c r="S257" s="86">
        <v>0</v>
      </c>
      <c r="T257" s="86">
        <v>0</v>
      </c>
      <c r="U257" s="86">
        <v>0</v>
      </c>
      <c r="V257" s="86">
        <v>0</v>
      </c>
      <c r="W257" s="86"/>
      <c r="X257" s="86"/>
      <c r="Y257" s="86"/>
      <c r="Z257" s="86"/>
      <c r="AA257" s="86"/>
      <c r="AB257" s="86"/>
      <c r="AC257" s="86"/>
      <c r="AD257" s="86"/>
      <c r="AE257" s="86"/>
      <c r="AF257" s="86"/>
    </row>
    <row r="258" spans="2:32">
      <c r="B258" s="86"/>
      <c r="C258" s="135"/>
      <c r="D258" s="86">
        <v>8</v>
      </c>
      <c r="E258" s="72">
        <v>28.85</v>
      </c>
      <c r="F258" s="86">
        <v>33</v>
      </c>
      <c r="G258" s="86">
        <v>0</v>
      </c>
      <c r="H258" s="86">
        <v>0</v>
      </c>
      <c r="I258" s="86">
        <v>8</v>
      </c>
      <c r="J258" s="86">
        <v>0</v>
      </c>
      <c r="K258" s="86">
        <v>4</v>
      </c>
      <c r="L258" s="86">
        <v>0</v>
      </c>
      <c r="M258" s="86"/>
      <c r="N258" s="86">
        <v>8</v>
      </c>
      <c r="O258" s="72">
        <v>25.88</v>
      </c>
      <c r="P258" s="86">
        <v>30</v>
      </c>
      <c r="Q258" s="86">
        <v>0</v>
      </c>
      <c r="R258" s="86">
        <v>0</v>
      </c>
      <c r="S258" s="86">
        <v>12</v>
      </c>
      <c r="T258" s="86">
        <v>0</v>
      </c>
      <c r="U258" s="86">
        <v>0</v>
      </c>
      <c r="V258" s="86">
        <v>0</v>
      </c>
      <c r="W258" s="86"/>
      <c r="X258" s="86"/>
      <c r="Y258" s="86"/>
      <c r="Z258" s="86"/>
      <c r="AA258" s="86"/>
      <c r="AB258" s="86"/>
      <c r="AC258" s="86"/>
      <c r="AD258" s="86"/>
      <c r="AE258" s="86"/>
      <c r="AF258" s="86"/>
    </row>
    <row r="259" spans="2:32">
      <c r="B259" s="86"/>
      <c r="C259" s="135"/>
      <c r="D259" s="86">
        <v>9</v>
      </c>
      <c r="E259" s="72">
        <v>33.17</v>
      </c>
      <c r="F259" s="86">
        <v>34</v>
      </c>
      <c r="G259" s="86">
        <v>0</v>
      </c>
      <c r="H259" s="86">
        <v>0</v>
      </c>
      <c r="I259" s="86">
        <v>8</v>
      </c>
      <c r="J259" s="86">
        <v>4</v>
      </c>
      <c r="K259" s="86">
        <v>0</v>
      </c>
      <c r="L259" s="86">
        <v>0</v>
      </c>
      <c r="M259" s="86"/>
      <c r="N259" s="86">
        <v>9</v>
      </c>
      <c r="O259" s="72">
        <v>26.85</v>
      </c>
      <c r="P259" s="86">
        <v>31</v>
      </c>
      <c r="Q259" s="86">
        <v>0</v>
      </c>
      <c r="R259" s="86">
        <v>0</v>
      </c>
      <c r="S259" s="86">
        <v>10</v>
      </c>
      <c r="T259" s="86">
        <v>0</v>
      </c>
      <c r="U259" s="86">
        <v>2</v>
      </c>
      <c r="V259" s="86">
        <v>0</v>
      </c>
      <c r="W259" s="86"/>
      <c r="X259" s="86"/>
      <c r="Y259" s="86"/>
      <c r="Z259" s="86"/>
      <c r="AA259" s="86"/>
      <c r="AB259" s="86"/>
      <c r="AC259" s="86"/>
      <c r="AD259" s="86"/>
      <c r="AE259" s="86"/>
      <c r="AF259" s="86"/>
    </row>
    <row r="260" spans="2:32">
      <c r="B260" s="86"/>
      <c r="C260" s="135"/>
      <c r="D260" s="70">
        <v>10</v>
      </c>
      <c r="E260" s="72">
        <v>27.07</v>
      </c>
      <c r="F260" s="86">
        <v>12</v>
      </c>
      <c r="G260" s="86">
        <v>6</v>
      </c>
      <c r="H260" s="86">
        <v>0</v>
      </c>
      <c r="I260" s="86">
        <v>6</v>
      </c>
      <c r="J260" s="86">
        <v>0</v>
      </c>
      <c r="K260" s="86">
        <v>0</v>
      </c>
      <c r="L260" s="86">
        <v>0</v>
      </c>
      <c r="M260" s="86"/>
      <c r="N260" s="70">
        <v>10</v>
      </c>
      <c r="O260" s="72">
        <v>28.92</v>
      </c>
      <c r="P260" s="86">
        <v>32</v>
      </c>
      <c r="Q260" s="86">
        <v>0</v>
      </c>
      <c r="R260" s="86">
        <v>0</v>
      </c>
      <c r="S260" s="86">
        <v>10</v>
      </c>
      <c r="T260" s="86">
        <v>2</v>
      </c>
      <c r="U260" s="86">
        <v>0</v>
      </c>
      <c r="V260" s="86">
        <v>0</v>
      </c>
      <c r="W260" s="86"/>
      <c r="X260" s="86"/>
      <c r="Y260" s="86"/>
      <c r="Z260" s="86"/>
      <c r="AA260" s="86"/>
      <c r="AB260" s="86"/>
      <c r="AC260" s="86"/>
      <c r="AD260" s="86"/>
      <c r="AE260" s="86"/>
      <c r="AF260" s="86"/>
    </row>
    <row r="261" spans="2:32">
      <c r="B261" s="86"/>
      <c r="C261" s="135"/>
      <c r="D261" s="86">
        <v>11</v>
      </c>
      <c r="E261" s="72">
        <v>26.85</v>
      </c>
      <c r="F261" s="86">
        <v>31</v>
      </c>
      <c r="G261" s="86">
        <v>0</v>
      </c>
      <c r="H261" s="86">
        <v>0</v>
      </c>
      <c r="I261" s="86">
        <v>10</v>
      </c>
      <c r="J261" s="86">
        <v>0</v>
      </c>
      <c r="K261" s="86">
        <v>2</v>
      </c>
      <c r="L261" s="86">
        <v>0</v>
      </c>
      <c r="M261" s="86"/>
      <c r="N261" s="86">
        <v>11</v>
      </c>
      <c r="O261" s="72">
        <v>28.85</v>
      </c>
      <c r="P261" s="86">
        <v>33</v>
      </c>
      <c r="Q261" s="86">
        <v>0</v>
      </c>
      <c r="R261" s="86">
        <v>0</v>
      </c>
      <c r="S261" s="86">
        <v>8</v>
      </c>
      <c r="T261" s="86">
        <v>0</v>
      </c>
      <c r="U261" s="86">
        <v>4</v>
      </c>
      <c r="V261" s="86">
        <v>0</v>
      </c>
      <c r="W261" s="86"/>
      <c r="X261" s="86"/>
      <c r="Y261" s="86"/>
      <c r="Z261" s="86"/>
      <c r="AA261" s="86"/>
      <c r="AB261" s="86"/>
      <c r="AC261" s="86"/>
      <c r="AD261" s="86"/>
      <c r="AE261" s="86"/>
      <c r="AF261" s="86"/>
    </row>
    <row r="262" spans="2:32">
      <c r="B262" s="86"/>
      <c r="C262" s="135"/>
      <c r="D262" s="86">
        <v>12</v>
      </c>
      <c r="E262" s="72">
        <v>28.92</v>
      </c>
      <c r="F262" s="86">
        <v>32</v>
      </c>
      <c r="G262" s="86">
        <v>0</v>
      </c>
      <c r="H262" s="86">
        <v>0</v>
      </c>
      <c r="I262" s="86">
        <v>10</v>
      </c>
      <c r="J262" s="86">
        <v>2</v>
      </c>
      <c r="K262" s="86">
        <v>0</v>
      </c>
      <c r="L262" s="86">
        <v>0</v>
      </c>
      <c r="M262" s="86"/>
      <c r="N262" s="86">
        <v>12</v>
      </c>
      <c r="O262" s="72">
        <v>33.17</v>
      </c>
      <c r="P262" s="86">
        <v>34</v>
      </c>
      <c r="Q262" s="86">
        <v>0</v>
      </c>
      <c r="R262" s="86">
        <v>0</v>
      </c>
      <c r="S262" s="86">
        <v>8</v>
      </c>
      <c r="T262" s="86">
        <v>4</v>
      </c>
      <c r="U262" s="86">
        <v>0</v>
      </c>
      <c r="V262" s="86">
        <v>0</v>
      </c>
      <c r="W262" s="86"/>
      <c r="X262" s="86"/>
      <c r="Y262" s="86"/>
      <c r="Z262" s="86"/>
      <c r="AA262" s="86"/>
      <c r="AB262" s="86"/>
      <c r="AC262" s="86"/>
      <c r="AD262" s="86"/>
      <c r="AE262" s="86"/>
      <c r="AF262" s="86"/>
    </row>
    <row r="263" spans="2:32">
      <c r="B263" s="86"/>
      <c r="C263" s="135"/>
      <c r="D263" s="86">
        <v>13</v>
      </c>
      <c r="E263" s="72">
        <v>35.46</v>
      </c>
      <c r="F263" s="86">
        <v>35</v>
      </c>
      <c r="G263" s="86">
        <v>0</v>
      </c>
      <c r="H263" s="86">
        <v>0</v>
      </c>
      <c r="I263" s="86">
        <v>4</v>
      </c>
      <c r="J263" s="86">
        <v>4</v>
      </c>
      <c r="K263" s="86">
        <v>4</v>
      </c>
      <c r="L263" s="86">
        <v>0</v>
      </c>
      <c r="M263" s="86"/>
      <c r="N263" s="86">
        <v>13</v>
      </c>
      <c r="O263" s="72">
        <v>35.46</v>
      </c>
      <c r="P263" s="86">
        <v>35</v>
      </c>
      <c r="Q263" s="86">
        <v>0</v>
      </c>
      <c r="R263" s="86">
        <v>0</v>
      </c>
      <c r="S263" s="86">
        <v>4</v>
      </c>
      <c r="T263" s="86">
        <v>4</v>
      </c>
      <c r="U263" s="86">
        <v>4</v>
      </c>
      <c r="V263" s="86">
        <v>0</v>
      </c>
      <c r="W263" s="86"/>
      <c r="X263" s="86"/>
      <c r="Y263" s="86"/>
      <c r="Z263" s="86"/>
      <c r="AA263" s="86"/>
      <c r="AB263" s="86"/>
      <c r="AC263" s="86"/>
      <c r="AD263" s="86"/>
      <c r="AE263" s="86"/>
      <c r="AF263" s="86"/>
    </row>
    <row r="264" spans="2:32">
      <c r="B264" s="86"/>
      <c r="C264" s="135"/>
      <c r="D264" s="86">
        <v>14</v>
      </c>
      <c r="E264" s="72">
        <v>34.58</v>
      </c>
      <c r="F264" s="86">
        <v>36</v>
      </c>
      <c r="G264" s="86">
        <v>0</v>
      </c>
      <c r="H264" s="86">
        <v>0</v>
      </c>
      <c r="I264" s="86">
        <v>6</v>
      </c>
      <c r="J264" s="86">
        <v>6</v>
      </c>
      <c r="K264" s="86">
        <v>0</v>
      </c>
      <c r="L264" s="86">
        <v>0</v>
      </c>
      <c r="M264" s="86"/>
      <c r="N264" s="86">
        <v>14</v>
      </c>
      <c r="O264" s="72">
        <v>34.58</v>
      </c>
      <c r="P264" s="86">
        <v>36</v>
      </c>
      <c r="Q264" s="86">
        <v>0</v>
      </c>
      <c r="R264" s="86">
        <v>0</v>
      </c>
      <c r="S264" s="86">
        <v>6</v>
      </c>
      <c r="T264" s="86">
        <v>6</v>
      </c>
      <c r="U264" s="86">
        <v>0</v>
      </c>
      <c r="V264" s="86">
        <v>0</v>
      </c>
      <c r="W264" s="86"/>
      <c r="X264" s="86"/>
      <c r="Y264" s="86"/>
      <c r="Z264" s="86"/>
      <c r="AA264" s="86"/>
      <c r="AB264" s="86"/>
      <c r="AC264" s="86"/>
      <c r="AD264" s="86"/>
      <c r="AE264" s="86"/>
      <c r="AF264" s="86"/>
    </row>
    <row r="265" spans="2:32">
      <c r="B265" s="86"/>
      <c r="C265" s="135"/>
      <c r="D265" s="70">
        <v>15</v>
      </c>
      <c r="E265" s="72">
        <v>37.770000000000003</v>
      </c>
      <c r="F265" s="86">
        <v>37</v>
      </c>
      <c r="G265" s="86">
        <v>0</v>
      </c>
      <c r="H265" s="86">
        <v>0</v>
      </c>
      <c r="I265" s="86">
        <v>2</v>
      </c>
      <c r="J265" s="86">
        <v>6</v>
      </c>
      <c r="K265" s="86">
        <v>4</v>
      </c>
      <c r="L265" s="86">
        <v>0</v>
      </c>
      <c r="M265" s="86"/>
      <c r="N265" s="70">
        <v>15</v>
      </c>
      <c r="O265" s="72">
        <v>37.770000000000003</v>
      </c>
      <c r="P265" s="86">
        <v>37</v>
      </c>
      <c r="Q265" s="86">
        <v>0</v>
      </c>
      <c r="R265" s="86">
        <v>0</v>
      </c>
      <c r="S265" s="86">
        <v>2</v>
      </c>
      <c r="T265" s="86">
        <v>6</v>
      </c>
      <c r="U265" s="86">
        <v>4</v>
      </c>
      <c r="V265" s="86">
        <v>0</v>
      </c>
      <c r="W265" s="86"/>
      <c r="X265" s="86"/>
      <c r="Y265" s="86"/>
      <c r="Z265" s="86"/>
      <c r="AA265" s="86"/>
      <c r="AB265" s="86"/>
      <c r="AC265" s="86"/>
      <c r="AD265" s="86"/>
      <c r="AE265" s="86"/>
      <c r="AF265" s="86"/>
    </row>
    <row r="266" spans="2:32">
      <c r="B266" s="86"/>
      <c r="C266" s="135"/>
      <c r="D266" s="86">
        <v>16</v>
      </c>
      <c r="E266" s="86">
        <v>0</v>
      </c>
      <c r="F266" s="86">
        <v>14</v>
      </c>
      <c r="G266" s="86">
        <v>6</v>
      </c>
      <c r="H266" s="86">
        <v>0</v>
      </c>
      <c r="I266" s="86">
        <v>4</v>
      </c>
      <c r="J266" s="86">
        <v>2</v>
      </c>
      <c r="K266" s="86">
        <v>0</v>
      </c>
      <c r="L266" s="86">
        <v>0</v>
      </c>
      <c r="M266" s="86"/>
      <c r="N266" s="86">
        <v>16</v>
      </c>
      <c r="O266" s="86">
        <v>0</v>
      </c>
      <c r="P266" s="86">
        <v>14</v>
      </c>
      <c r="Q266" s="86">
        <v>6</v>
      </c>
      <c r="R266" s="86">
        <v>0</v>
      </c>
      <c r="S266" s="86">
        <v>4</v>
      </c>
      <c r="T266" s="86">
        <v>2</v>
      </c>
      <c r="U266" s="86">
        <v>0</v>
      </c>
      <c r="V266" s="86">
        <v>0</v>
      </c>
      <c r="W266" s="86"/>
      <c r="X266" s="86"/>
      <c r="Y266" s="86"/>
      <c r="Z266" s="86"/>
      <c r="AA266" s="86"/>
      <c r="AB266" s="86"/>
      <c r="AC266" s="86"/>
      <c r="AD266" s="86"/>
      <c r="AE266" s="86"/>
      <c r="AF266" s="86"/>
    </row>
    <row r="267" spans="2:32">
      <c r="B267" s="86"/>
      <c r="C267" s="135"/>
      <c r="D267" s="86">
        <v>17</v>
      </c>
      <c r="E267" s="86">
        <v>0</v>
      </c>
      <c r="F267" s="86">
        <v>15</v>
      </c>
      <c r="G267" s="86">
        <v>6</v>
      </c>
      <c r="H267" s="86">
        <v>0</v>
      </c>
      <c r="I267" s="86">
        <v>2</v>
      </c>
      <c r="J267" s="86">
        <v>2</v>
      </c>
      <c r="K267" s="86">
        <v>2</v>
      </c>
      <c r="L267" s="86">
        <v>0</v>
      </c>
      <c r="M267" s="86"/>
      <c r="N267" s="86">
        <v>17</v>
      </c>
      <c r="O267" s="86">
        <v>0</v>
      </c>
      <c r="P267" s="86">
        <v>15</v>
      </c>
      <c r="Q267" s="86">
        <v>6</v>
      </c>
      <c r="R267" s="86">
        <v>0</v>
      </c>
      <c r="S267" s="86">
        <v>2</v>
      </c>
      <c r="T267" s="86">
        <v>2</v>
      </c>
      <c r="U267" s="86">
        <v>2</v>
      </c>
      <c r="V267" s="86">
        <v>0</v>
      </c>
      <c r="W267" s="86"/>
      <c r="X267" s="86"/>
      <c r="Y267" s="86"/>
      <c r="Z267" s="86"/>
      <c r="AA267" s="86"/>
      <c r="AB267" s="86"/>
      <c r="AC267" s="86"/>
      <c r="AD267" s="86"/>
      <c r="AE267" s="86"/>
      <c r="AF267" s="86"/>
    </row>
    <row r="268" spans="2:32">
      <c r="B268" s="86"/>
      <c r="C268" s="86"/>
      <c r="D268" s="86"/>
      <c r="M268" s="86"/>
      <c r="N268" s="86"/>
      <c r="O268" s="86"/>
      <c r="P268" s="86"/>
      <c r="Q268" s="86"/>
      <c r="R268" s="86"/>
      <c r="S268" s="86"/>
      <c r="T268" s="86"/>
      <c r="U268" s="86"/>
      <c r="V268" s="86"/>
      <c r="W268" s="86"/>
      <c r="X268" s="86"/>
      <c r="Y268" s="86"/>
      <c r="Z268" s="86"/>
      <c r="AA268" s="86"/>
      <c r="AB268" s="86"/>
      <c r="AC268" s="86"/>
      <c r="AD268" s="86"/>
      <c r="AE268" s="86"/>
      <c r="AF268" s="86"/>
    </row>
    <row r="269" spans="2:32">
      <c r="B269" s="86"/>
      <c r="C269" s="86"/>
      <c r="D269" s="86"/>
      <c r="E269" s="69" t="s">
        <v>176</v>
      </c>
      <c r="F269" s="69" t="s">
        <v>177</v>
      </c>
      <c r="G269" s="69" t="s">
        <v>178</v>
      </c>
      <c r="H269" s="69" t="s">
        <v>179</v>
      </c>
      <c r="I269" s="69" t="s">
        <v>180</v>
      </c>
      <c r="J269" s="69" t="s">
        <v>181</v>
      </c>
      <c r="K269" s="69" t="s">
        <v>182</v>
      </c>
      <c r="L269" s="69" t="s">
        <v>183</v>
      </c>
      <c r="M269" s="86"/>
      <c r="N269" s="86"/>
      <c r="O269" s="86"/>
      <c r="P269" s="86"/>
      <c r="Q269" s="86"/>
      <c r="R269" s="86"/>
      <c r="S269" s="86"/>
      <c r="T269" s="86"/>
      <c r="U269" s="86"/>
      <c r="V269" s="86"/>
      <c r="W269" s="86"/>
      <c r="X269" s="86"/>
      <c r="Y269" s="86"/>
      <c r="Z269" s="86"/>
      <c r="AA269" s="86"/>
      <c r="AB269" s="86"/>
      <c r="AC269" s="86"/>
      <c r="AD269" s="86"/>
      <c r="AE269" s="86"/>
      <c r="AF269" s="86"/>
    </row>
    <row r="270" spans="2:32">
      <c r="B270" s="86"/>
      <c r="C270" s="86"/>
      <c r="D270" s="86">
        <f>AD249</f>
        <v>6</v>
      </c>
      <c r="E270" s="86">
        <f>VLOOKUP(D270,D250:L267,2,FALSE)</f>
        <v>15.92</v>
      </c>
      <c r="F270" s="86">
        <f>VLOOKUP(D270,D250:L267,3,FALSE)</f>
        <v>22</v>
      </c>
      <c r="G270" s="86">
        <f>VLOOKUP(D270,D250:L267,4,FALSE)</f>
        <v>0</v>
      </c>
      <c r="H270" s="86">
        <f>VLOOKUP(D270,D250:L267,5,FALSE)</f>
        <v>16</v>
      </c>
      <c r="I270" s="86">
        <f>VLOOKUP(D270,D250:L267,6,FALSE)</f>
        <v>0</v>
      </c>
      <c r="J270" s="86">
        <f>VLOOKUP(D270,D250:L267,7,FALSE)</f>
        <v>0</v>
      </c>
      <c r="K270" s="86">
        <f>VLOOKUP(D270,D250:L267,8,FALSE)</f>
        <v>0</v>
      </c>
      <c r="L270" s="86">
        <f>VLOOKUP(D270,D250:L267,9,FALSE)</f>
        <v>0</v>
      </c>
      <c r="M270" s="86"/>
      <c r="N270" s="86"/>
      <c r="O270" s="86"/>
      <c r="P270" s="86"/>
      <c r="Q270" s="86"/>
      <c r="R270" s="86"/>
      <c r="S270" s="86"/>
      <c r="T270" s="86"/>
      <c r="U270" s="86"/>
      <c r="V270" s="86"/>
      <c r="W270" s="86"/>
      <c r="X270" s="86"/>
      <c r="Y270" s="86"/>
      <c r="Z270" s="86"/>
      <c r="AA270" s="86"/>
      <c r="AB270" s="86"/>
      <c r="AC270" s="86"/>
      <c r="AD270" s="86"/>
      <c r="AE270" s="86"/>
      <c r="AF270" s="86"/>
    </row>
    <row r="271" spans="2:32">
      <c r="B271" s="86"/>
      <c r="C271" s="86"/>
      <c r="D271" s="86">
        <v>0</v>
      </c>
      <c r="E271" s="86">
        <v>0</v>
      </c>
      <c r="F271" s="86">
        <v>0</v>
      </c>
      <c r="G271" s="86">
        <v>0</v>
      </c>
      <c r="H271" s="86">
        <v>0</v>
      </c>
      <c r="I271" s="86">
        <v>0</v>
      </c>
      <c r="J271" s="86">
        <v>0</v>
      </c>
      <c r="K271" s="86">
        <v>0</v>
      </c>
      <c r="L271" s="86">
        <v>0</v>
      </c>
      <c r="M271" s="86"/>
      <c r="N271" s="86"/>
      <c r="O271" s="86"/>
      <c r="P271" s="86"/>
      <c r="Q271" s="86"/>
      <c r="R271" s="86"/>
      <c r="S271" s="86"/>
      <c r="T271" s="86"/>
      <c r="U271" s="86"/>
      <c r="V271" s="86"/>
      <c r="W271" s="86"/>
      <c r="X271" s="86"/>
      <c r="Y271" s="86"/>
      <c r="Z271" s="86"/>
      <c r="AA271" s="86"/>
      <c r="AB271" s="86"/>
      <c r="AC271" s="86"/>
      <c r="AD271" s="86"/>
      <c r="AE271" s="86"/>
      <c r="AF271" s="86"/>
    </row>
    <row r="272" spans="2:32">
      <c r="B272" s="86"/>
      <c r="C272" s="86"/>
      <c r="D272" s="86"/>
      <c r="E272" s="86"/>
      <c r="F272" s="86"/>
      <c r="G272" s="86">
        <f>G270+G271</f>
        <v>0</v>
      </c>
      <c r="H272" s="86">
        <f>H270+H271</f>
        <v>16</v>
      </c>
      <c r="I272" s="86">
        <f>I270+I271</f>
        <v>0</v>
      </c>
      <c r="J272" s="86">
        <f>J270+J271</f>
        <v>0</v>
      </c>
      <c r="K272" s="86">
        <f>K271+K270</f>
        <v>0</v>
      </c>
      <c r="L272" s="86">
        <f>L270+L271</f>
        <v>0</v>
      </c>
      <c r="M272" s="86"/>
      <c r="N272" s="86"/>
      <c r="O272" s="86"/>
      <c r="P272" s="86"/>
      <c r="Q272" s="86"/>
      <c r="R272" s="86"/>
      <c r="S272" s="86"/>
      <c r="T272" s="86"/>
      <c r="U272" s="86"/>
      <c r="V272" s="86"/>
      <c r="W272" s="86"/>
      <c r="X272" s="86"/>
      <c r="Y272" s="86"/>
      <c r="Z272" s="86"/>
      <c r="AA272" s="86"/>
      <c r="AB272" s="86"/>
      <c r="AC272" s="86"/>
      <c r="AD272" s="86"/>
      <c r="AE272" s="86"/>
      <c r="AF272" s="86"/>
    </row>
    <row r="273" spans="2:32">
      <c r="B273" s="86"/>
      <c r="C273" s="86"/>
      <c r="D273" s="86"/>
      <c r="E273" s="86"/>
      <c r="F273" s="86"/>
      <c r="G273" s="86"/>
      <c r="H273" s="86"/>
      <c r="I273" s="86"/>
      <c r="J273" s="86"/>
      <c r="K273" s="86"/>
      <c r="L273" s="86"/>
      <c r="M273" s="86"/>
      <c r="N273" s="86"/>
      <c r="O273" s="86"/>
      <c r="P273" s="86"/>
      <c r="Q273" s="86"/>
      <c r="R273" s="86"/>
      <c r="S273" s="86"/>
      <c r="T273" s="86"/>
      <c r="U273" s="86"/>
      <c r="V273" s="86"/>
      <c r="W273" s="86"/>
      <c r="X273" s="86"/>
      <c r="Y273" s="86"/>
      <c r="Z273" s="86"/>
      <c r="AA273" s="86"/>
      <c r="AB273" s="86"/>
      <c r="AC273" s="86"/>
      <c r="AD273" s="86"/>
      <c r="AE273" s="86"/>
      <c r="AF273" s="86"/>
    </row>
    <row r="274" spans="2:32">
      <c r="B274" s="86"/>
      <c r="C274" s="86"/>
      <c r="D274" s="86"/>
      <c r="E274" s="86"/>
      <c r="F274" s="86"/>
      <c r="G274" s="86"/>
      <c r="H274" s="86"/>
      <c r="I274" s="86"/>
      <c r="J274" s="86"/>
      <c r="K274" s="86"/>
      <c r="L274" s="86"/>
      <c r="M274" s="86"/>
      <c r="N274" s="86"/>
      <c r="O274" s="86"/>
      <c r="P274" s="86"/>
      <c r="Q274" s="86"/>
      <c r="R274" s="86"/>
      <c r="S274" s="86"/>
      <c r="T274" s="86"/>
      <c r="U274" s="86"/>
      <c r="V274" s="86"/>
      <c r="W274" s="86"/>
      <c r="X274" s="86"/>
      <c r="Y274" s="86"/>
      <c r="Z274" s="86"/>
      <c r="AA274" s="86"/>
      <c r="AB274" s="86"/>
      <c r="AC274" s="86"/>
      <c r="AD274" s="86"/>
      <c r="AE274" s="86"/>
      <c r="AF274" s="86"/>
    </row>
    <row r="275" spans="2:32">
      <c r="B275" s="86"/>
      <c r="C275" s="86"/>
      <c r="D275" s="86"/>
      <c r="E275" s="86"/>
      <c r="F275" s="86"/>
      <c r="G275" s="86"/>
      <c r="H275" s="86"/>
      <c r="I275" s="86"/>
      <c r="J275" s="86"/>
      <c r="K275" s="86"/>
      <c r="L275" s="86"/>
      <c r="M275" s="86"/>
      <c r="N275" s="86"/>
      <c r="O275" s="86"/>
      <c r="P275" s="86"/>
      <c r="Q275" s="86"/>
      <c r="R275" s="86"/>
      <c r="S275" s="86"/>
      <c r="T275" s="86"/>
      <c r="U275" s="86"/>
      <c r="V275" s="86"/>
      <c r="W275" s="86"/>
      <c r="X275" s="86"/>
      <c r="Y275" s="86"/>
      <c r="Z275" s="86"/>
      <c r="AA275" s="86"/>
      <c r="AB275" s="86"/>
      <c r="AC275" s="86"/>
      <c r="AD275" s="86"/>
      <c r="AE275" s="86"/>
      <c r="AF275" s="86"/>
    </row>
    <row r="276" spans="2:32">
      <c r="B276" s="86"/>
      <c r="C276" s="86"/>
      <c r="D276" s="86"/>
      <c r="E276" s="72"/>
      <c r="F276" s="86"/>
      <c r="G276" s="86"/>
      <c r="H276" s="86"/>
      <c r="I276" s="86"/>
      <c r="J276" s="86"/>
      <c r="K276" s="86"/>
      <c r="L276" s="86"/>
      <c r="M276" s="86"/>
      <c r="N276" s="86"/>
      <c r="O276" s="86"/>
      <c r="P276" s="86"/>
      <c r="Q276" s="86"/>
      <c r="R276" s="86"/>
      <c r="S276" s="86"/>
      <c r="T276" s="86"/>
      <c r="U276" s="86"/>
      <c r="V276" s="86"/>
      <c r="W276" s="86"/>
      <c r="X276" s="86"/>
      <c r="Y276" s="86"/>
      <c r="Z276" s="86"/>
      <c r="AA276" s="86"/>
      <c r="AB276" s="86"/>
      <c r="AC276" s="86"/>
      <c r="AD276" s="86"/>
      <c r="AE276" s="86"/>
      <c r="AF276" s="86"/>
    </row>
    <row r="290" spans="1:12">
      <c r="A290" s="77" t="s">
        <v>193</v>
      </c>
    </row>
    <row r="292" spans="1:12" s="41" customFormat="1" ht="10.5" customHeight="1">
      <c r="A292" s="78" t="s">
        <v>119</v>
      </c>
      <c r="B292" s="43"/>
      <c r="C292" s="79"/>
      <c r="D292" s="80"/>
      <c r="E292" s="81"/>
      <c r="F292" s="82"/>
      <c r="K292" s="83"/>
      <c r="L292" s="84"/>
    </row>
    <row r="293" spans="1:12" s="41" customFormat="1" ht="16.5" customHeight="1">
      <c r="A293" s="43" t="s">
        <v>155</v>
      </c>
      <c r="B293" s="82" t="e">
        <f>_!D27*курс*скидка</f>
        <v>#REF!</v>
      </c>
      <c r="C293" s="85"/>
      <c r="D293" s="80" t="e">
        <f>B293*C293</f>
        <v>#REF!</v>
      </c>
      <c r="E293" s="81" t="e">
        <f>IF(курс=1,"€","₽")</f>
        <v>#REF!</v>
      </c>
      <c r="F293" s="82" t="e">
        <f>D293/1.2</f>
        <v>#REF!</v>
      </c>
      <c r="K293" s="83"/>
      <c r="L293" s="84"/>
    </row>
  </sheetData>
  <sheetProtection password="C71A" sheet="1" objects="1" scenarios="1"/>
  <customSheetViews>
    <customSheetView guid="{11D08DB2-E31A-4B7D-96E3-15D146D9C90A}" scale="85" state="hidden">
      <selection activeCell="V5" sqref="V5"/>
      <pageMargins left="0.75" right="0.75" top="1" bottom="1" header="0.5" footer="0.5"/>
      <pageSetup paperSize="9" orientation="portrait" r:id="rId1"/>
      <headerFooter alignWithMargins="0"/>
    </customSheetView>
    <customSheetView guid="{7D664F49-CBB3-4B83-A19B-05FCB4570C5D}" scale="85" state="hidden" topLeftCell="H1">
      <selection activeCell="H1" sqref="H1"/>
      <pageMargins left="0.75" right="0.75" top="1" bottom="1" header="0.5" footer="0.5"/>
      <pageSetup paperSize="9" orientation="portrait" r:id="rId2"/>
      <headerFooter alignWithMargins="0"/>
    </customSheetView>
    <customSheetView guid="{20FA67BD-9BBC-4ED6-BBAA-373F6BCF607B}" scale="80" topLeftCell="A34">
      <selection activeCell="K73" sqref="K73"/>
      <pageMargins left="0.75" right="0.75" top="1" bottom="1" header="0.5" footer="0.5"/>
      <pageSetup paperSize="9" orientation="portrait" verticalDpi="0" r:id="rId3"/>
      <headerFooter alignWithMargins="0"/>
    </customSheetView>
    <customSheetView guid="{830742FC-BE7F-4E27-BACB-C350DD8E1822}" scale="80" showRuler="0" topLeftCell="A154">
      <selection activeCell="A154" sqref="A1:IV65536"/>
      <pageMargins left="0.75" right="0.75" top="1" bottom="1" header="0.5" footer="0.5"/>
      <pageSetup paperSize="9" orientation="portrait" verticalDpi="0" r:id="rId4"/>
      <headerFooter alignWithMargins="0"/>
    </customSheetView>
  </customSheetViews>
  <mergeCells count="8">
    <mergeCell ref="AC248:AF248"/>
    <mergeCell ref="C249:C267"/>
    <mergeCell ref="AD172:AF172"/>
    <mergeCell ref="C173:C191"/>
    <mergeCell ref="O182:P182"/>
    <mergeCell ref="AC215:AF215"/>
    <mergeCell ref="C216:C234"/>
    <mergeCell ref="O225:P225"/>
  </mergeCells>
  <phoneticPr fontId="2" type="noConversion"/>
  <pageMargins left="0.75" right="0.75" top="1" bottom="1" header="0.5" footer="0.5"/>
  <pageSetup paperSize="9" orientation="portrait" r:id="rId5"/>
  <headerFooter alignWithMargins="0"/>
  <legacyDrawing r:id="rId6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/>
  </sheetViews>
  <sheetFormatPr defaultRowHeight="15"/>
  <sheetData/>
  <customSheetViews>
    <customSheetView guid="{11D08DB2-E31A-4B7D-96E3-15D146D9C90A}" state="hidden" topLeftCell="A16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4</vt:i4>
      </vt:variant>
    </vt:vector>
  </HeadingPairs>
  <TitlesOfParts>
    <vt:vector size="10" baseType="lpstr">
      <vt:lpstr>FMR_new</vt:lpstr>
      <vt:lpstr>Модем ICM</vt:lpstr>
      <vt:lpstr>SMH2G_old</vt:lpstr>
      <vt:lpstr>SMH2010</vt:lpstr>
      <vt:lpstr>_</vt:lpstr>
      <vt:lpstr>Лист1</vt:lpstr>
      <vt:lpstr>'SMH2010'!Область_печати</vt:lpstr>
      <vt:lpstr>SMH2G_old!Область_печати</vt:lpstr>
      <vt:lpstr>'Модем ICM'!Область_печати</vt:lpstr>
      <vt:lpstr>скидка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Support</dc:creator>
  <cp:lastModifiedBy>al</cp:lastModifiedBy>
  <dcterms:created xsi:type="dcterms:W3CDTF">2021-09-27T10:04:16Z</dcterms:created>
  <dcterms:modified xsi:type="dcterms:W3CDTF">2022-11-28T11:21:10Z</dcterms:modified>
</cp:coreProperties>
</file>